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20190423" sheetId="1" r:id="rId1"/>
    <sheet name="0225" sheetId="2" r:id="rId2"/>
    <sheet name="唐" sheetId="3" r:id="rId3"/>
    <sheet name="Sheet2" sheetId="4" r:id="rId4"/>
    <sheet name="Sheet3" sheetId="5" r:id="rId5"/>
  </sheets>
  <definedNames>
    <definedName name="_xlnm.Print_Area" localSheetId="1">'0225'!$A$1:$H$30</definedName>
    <definedName name="_xlnm.Print_Area" localSheetId="0">'20190423'!$A$1:$H$25</definedName>
  </definedNames>
  <calcPr calcId="144525"/>
</workbook>
</file>

<file path=xl/sharedStrings.xml><?xml version="1.0" encoding="utf-8"?>
<sst xmlns="http://schemas.openxmlformats.org/spreadsheetml/2006/main" count="190">
  <si>
    <t>碎（裂、胀） 法置换旧管（试行）</t>
  </si>
  <si>
    <t xml:space="preserve">工作内容:施工准备、钢拉杆吊卸及安装、胀管设备加压传动、安装连接扶正器及胀管头、胀破旧管、扩孔器挤压旧管碎片入土层、顶管、洞口处理、清理现场                                                                                 </t>
  </si>
  <si>
    <t>计量单位：m</t>
  </si>
  <si>
    <t>定额编号</t>
  </si>
  <si>
    <t>FZ601039</t>
  </si>
  <si>
    <t>FZ601040</t>
  </si>
  <si>
    <t>FZ601041</t>
  </si>
  <si>
    <t>FZ601042</t>
  </si>
  <si>
    <t>项目</t>
  </si>
  <si>
    <t>DN300</t>
  </si>
  <si>
    <t>DN400</t>
  </si>
  <si>
    <t>DN500</t>
  </si>
  <si>
    <t>DN600</t>
  </si>
  <si>
    <t>工料机基价(元）</t>
  </si>
  <si>
    <t>其中</t>
  </si>
  <si>
    <t>人工费基价（元）</t>
  </si>
  <si>
    <t>材料费基价（元）</t>
  </si>
  <si>
    <t>施工机具使用费基价（元）</t>
  </si>
  <si>
    <t>名称</t>
  </si>
  <si>
    <t>单位</t>
  </si>
  <si>
    <t>单价</t>
  </si>
  <si>
    <t>数量</t>
  </si>
  <si>
    <t>材料</t>
  </si>
  <si>
    <t>钢胀管头扩孔器DN300</t>
  </si>
  <si>
    <t>个</t>
  </si>
  <si>
    <t>0.03</t>
  </si>
  <si>
    <t>钢胀管头扩孔器DN400</t>
  </si>
  <si>
    <t>钢胀管头扩孔器DN500</t>
  </si>
  <si>
    <t>钢胀管头扩孔器DN600</t>
  </si>
  <si>
    <r>
      <rPr>
        <sz val="10"/>
        <color theme="1"/>
        <rFont val="宋体"/>
        <charset val="134"/>
      </rPr>
      <t>（PN1.25）PE
Φ315*23.2</t>
    </r>
    <r>
      <rPr>
        <sz val="10"/>
        <color theme="1"/>
        <rFont val="Times New Roman"/>
        <charset val="134"/>
      </rPr>
      <t>mm(</t>
    </r>
    <r>
      <rPr>
        <sz val="10"/>
        <color theme="1"/>
        <rFont val="宋体"/>
        <charset val="134"/>
      </rPr>
      <t>含加工费</t>
    </r>
    <r>
      <rPr>
        <sz val="10"/>
        <color theme="1"/>
        <rFont val="Times New Roman"/>
        <charset val="134"/>
      </rPr>
      <t>)</t>
    </r>
  </si>
  <si>
    <t>m</t>
  </si>
  <si>
    <t>（1.25）</t>
  </si>
  <si>
    <r>
      <rPr>
        <sz val="10"/>
        <color theme="1"/>
        <rFont val="宋体"/>
        <charset val="134"/>
      </rPr>
      <t>（PN1.25）PE
Φ400*29.4</t>
    </r>
    <r>
      <rPr>
        <sz val="10"/>
        <color theme="1"/>
        <rFont val="Times New Roman"/>
        <charset val="134"/>
      </rPr>
      <t>mm(</t>
    </r>
    <r>
      <rPr>
        <sz val="10"/>
        <color theme="1"/>
        <rFont val="宋体"/>
        <charset val="134"/>
      </rPr>
      <t>含加工费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</si>
  <si>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（PN1.25）PE
Φ500*36.8</t>
    </r>
    <r>
      <rPr>
        <sz val="10"/>
        <color theme="1"/>
        <rFont val="Times New Roman"/>
        <charset val="134"/>
      </rPr>
      <t>mm(</t>
    </r>
    <r>
      <rPr>
        <sz val="10"/>
        <color theme="1"/>
        <rFont val="宋体"/>
        <charset val="134"/>
      </rPr>
      <t>含加工费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</si>
  <si>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（PN1.25）PE
Φ630*46.3</t>
    </r>
    <r>
      <rPr>
        <sz val="10"/>
        <color theme="1"/>
        <rFont val="Times New Roman"/>
        <charset val="134"/>
      </rPr>
      <t>mm(</t>
    </r>
    <r>
      <rPr>
        <sz val="10"/>
        <color theme="1"/>
        <rFont val="宋体"/>
        <charset val="134"/>
      </rPr>
      <t>含加工费</t>
    </r>
    <r>
      <rPr>
        <sz val="10"/>
        <color theme="1"/>
        <rFont val="Times New Roman"/>
        <charset val="134"/>
      </rPr>
      <t>)</t>
    </r>
  </si>
  <si>
    <t>密封胶</t>
  </si>
  <si>
    <t>瓶</t>
  </si>
  <si>
    <t>其他材料费</t>
  </si>
  <si>
    <t>%</t>
  </si>
  <si>
    <t>5</t>
  </si>
  <si>
    <t>机械</t>
  </si>
  <si>
    <t>胀拉管设备（200T）</t>
  </si>
  <si>
    <t>台班</t>
  </si>
  <si>
    <t xml:space="preserve">0.0667 </t>
  </si>
  <si>
    <t xml:space="preserve">0.0875 </t>
  </si>
  <si>
    <t xml:space="preserve">0.1077 </t>
  </si>
  <si>
    <t xml:space="preserve">0.1609 </t>
  </si>
  <si>
    <t>手动葫芦  1t</t>
  </si>
  <si>
    <r>
      <rPr>
        <sz val="10"/>
        <color theme="1"/>
        <rFont val="宋体"/>
        <charset val="134"/>
      </rPr>
      <t>鼓风机  18m</t>
    </r>
    <r>
      <rPr>
        <sz val="10"/>
        <color theme="1"/>
        <rFont val="宋体"/>
        <charset val="134"/>
      </rPr>
      <t>³</t>
    </r>
    <r>
      <rPr>
        <sz val="10"/>
        <color theme="1"/>
        <rFont val="宋体"/>
        <charset val="134"/>
      </rPr>
      <t>/min</t>
    </r>
  </si>
  <si>
    <t>叉车 3t</t>
  </si>
  <si>
    <t>0.0216</t>
  </si>
  <si>
    <t>0.0479</t>
  </si>
  <si>
    <t>0.0739</t>
  </si>
  <si>
    <t>0.0888</t>
  </si>
  <si>
    <t>载货汽车 装载质量8t</t>
  </si>
  <si>
    <t>碎（裂、胀） 法置换旧管单价分析表</t>
  </si>
  <si>
    <t xml:space="preserve">工作内容:施工准备、钢拉杆吊卸及安装、胀管设备加压传动、安装连接扶正器及胀管头、
胀破旧管、扩孔器挤压旧管碎片入土层、顶管、洞口处理、清理现场                                                                                 </t>
  </si>
  <si>
    <t>合计</t>
  </si>
  <si>
    <r>
      <rPr>
        <sz val="10"/>
        <color theme="1"/>
        <rFont val="宋体"/>
        <charset val="134"/>
      </rPr>
      <t>（PN1.60）PE
Φ315*28.6</t>
    </r>
    <r>
      <rPr>
        <sz val="10"/>
        <color theme="1"/>
        <rFont val="Times New Roman"/>
        <charset val="134"/>
      </rPr>
      <t>mm(</t>
    </r>
    <r>
      <rPr>
        <sz val="10"/>
        <color theme="1"/>
        <rFont val="宋体"/>
        <charset val="134"/>
      </rPr>
      <t>含加工费</t>
    </r>
    <r>
      <rPr>
        <sz val="10"/>
        <color theme="1"/>
        <rFont val="Times New Roman"/>
        <charset val="134"/>
      </rPr>
      <t>)</t>
    </r>
  </si>
  <si>
    <t>进口密封胶</t>
  </si>
  <si>
    <t>枕木 综合</t>
  </si>
  <si>
    <r>
      <rPr>
        <sz val="10"/>
        <color theme="1"/>
        <rFont val="Times New Roman"/>
        <charset val="134"/>
      </rPr>
      <t>m</t>
    </r>
    <r>
      <rPr>
        <sz val="10"/>
        <color theme="1"/>
        <rFont val="宋体"/>
        <charset val="134"/>
      </rPr>
      <t>3</t>
    </r>
  </si>
  <si>
    <t>胀管设备（液压TRS200拉力2000~3500KN）</t>
  </si>
  <si>
    <t>0.0307</t>
  </si>
  <si>
    <t>0.0403</t>
  </si>
  <si>
    <t>0.0496</t>
  </si>
  <si>
    <t>0.0741</t>
  </si>
  <si>
    <r>
      <rPr>
        <sz val="10"/>
        <color theme="1"/>
        <rFont val="宋体"/>
        <charset val="134"/>
      </rPr>
      <t>液压顶管设备  DN300</t>
    </r>
    <r>
      <rPr>
        <sz val="10"/>
        <color theme="1"/>
        <rFont val="Times New Roman"/>
        <charset val="134"/>
      </rPr>
      <t>mm</t>
    </r>
  </si>
  <si>
    <r>
      <rPr>
        <sz val="10"/>
        <color theme="1"/>
        <rFont val="宋体"/>
        <charset val="134"/>
      </rPr>
      <t>液压顶管设备  DN400</t>
    </r>
    <r>
      <rPr>
        <sz val="10"/>
        <color theme="1"/>
        <rFont val="Times New Roman"/>
        <charset val="134"/>
      </rPr>
      <t>mm</t>
    </r>
  </si>
  <si>
    <r>
      <rPr>
        <sz val="10"/>
        <color theme="1"/>
        <rFont val="宋体"/>
        <charset val="134"/>
      </rPr>
      <t>液压顶管设备  DN</t>
    </r>
    <r>
      <rPr>
        <sz val="10"/>
        <color rgb="FFFF0000"/>
        <rFont val="宋体"/>
        <charset val="134"/>
      </rPr>
      <t>5</t>
    </r>
    <r>
      <rPr>
        <sz val="10"/>
        <color theme="1"/>
        <rFont val="宋体"/>
        <charset val="134"/>
      </rPr>
      <t>00</t>
    </r>
    <r>
      <rPr>
        <sz val="10"/>
        <color theme="1"/>
        <rFont val="Times New Roman"/>
        <charset val="134"/>
      </rPr>
      <t>mm</t>
    </r>
  </si>
  <si>
    <r>
      <rPr>
        <sz val="10"/>
        <color theme="1"/>
        <rFont val="宋体"/>
        <charset val="134"/>
      </rPr>
      <t>液压顶管设备  DN</t>
    </r>
    <r>
      <rPr>
        <sz val="10"/>
        <color rgb="FFFF0000"/>
        <rFont val="宋体"/>
        <charset val="134"/>
      </rPr>
      <t>6</t>
    </r>
    <r>
      <rPr>
        <sz val="10"/>
        <color theme="1"/>
        <rFont val="宋体"/>
        <charset val="134"/>
      </rPr>
      <t>00</t>
    </r>
    <r>
      <rPr>
        <sz val="10"/>
        <color theme="1"/>
        <rFont val="Times New Roman"/>
        <charset val="134"/>
      </rPr>
      <t>mm</t>
    </r>
  </si>
  <si>
    <t>叉车 5t</t>
  </si>
  <si>
    <t>工作内容:施工准备、钢拉杆吊卸及安装、胀管设备加压传动、安装连接扶正器及胀管头、胀破旧管、扩孔器挤压旧管碎片入土层、顶管、洞口处理、清理现场                                                                                 计量单位：m</t>
  </si>
  <si>
    <t>FZ601038</t>
  </si>
  <si>
    <t>FZ601043</t>
  </si>
  <si>
    <t>DN200</t>
  </si>
  <si>
    <t>DN800</t>
  </si>
  <si>
    <t>消耗量</t>
  </si>
  <si>
    <t>人工费</t>
  </si>
  <si>
    <t>普通人工费</t>
  </si>
  <si>
    <t>元</t>
  </si>
  <si>
    <t>2.351</t>
  </si>
  <si>
    <t>8.407</t>
  </si>
  <si>
    <t>16.778</t>
  </si>
  <si>
    <t>25.15</t>
  </si>
  <si>
    <t>33.60</t>
  </si>
  <si>
    <t>69.206</t>
  </si>
  <si>
    <t>技工人工费</t>
  </si>
  <si>
    <t>5.874</t>
  </si>
  <si>
    <t>21.04</t>
  </si>
  <si>
    <t>42.025</t>
  </si>
  <si>
    <t>63.01</t>
  </si>
  <si>
    <t>84.161</t>
  </si>
  <si>
    <t>173.336</t>
  </si>
  <si>
    <t>高级技工人工费</t>
  </si>
  <si>
    <t>1.353</t>
  </si>
  <si>
    <t>4.822</t>
  </si>
  <si>
    <t>9.607</t>
  </si>
  <si>
    <t>14.41</t>
  </si>
  <si>
    <t>19.252</t>
  </si>
  <si>
    <t>39.647</t>
  </si>
  <si>
    <t>调向扶正器</t>
  </si>
  <si>
    <t>(0.0007)</t>
  </si>
  <si>
    <t>（0.0024）</t>
  </si>
  <si>
    <t>（0.0036）</t>
  </si>
  <si>
    <t>（0.0048）</t>
  </si>
  <si>
    <t>（0.0072）</t>
  </si>
  <si>
    <t>（0.0119）</t>
  </si>
  <si>
    <t>钢胀管头扩孔器DN200</t>
  </si>
  <si>
    <t>（0.0055）</t>
  </si>
  <si>
    <t>（0.0076）</t>
  </si>
  <si>
    <t>（0.0096）</t>
  </si>
  <si>
    <t>（0.0112）</t>
  </si>
  <si>
    <t>（0.0142）</t>
  </si>
  <si>
    <t>钢胀管头扩孔器DN800</t>
  </si>
  <si>
    <t>（0.0204）</t>
  </si>
  <si>
    <t>钢拉杆DN100 L1200</t>
  </si>
  <si>
    <t>根</t>
  </si>
  <si>
    <t>（0.0019）</t>
  </si>
  <si>
    <t>（0.0066）</t>
  </si>
  <si>
    <t>（0.0101）</t>
  </si>
  <si>
    <t>（0.0136）</t>
  </si>
  <si>
    <t>（0.0202）</t>
  </si>
  <si>
    <t>（0.0334）</t>
  </si>
  <si>
    <t>液压油68#</t>
  </si>
  <si>
    <t>L</t>
  </si>
  <si>
    <t>0.0824</t>
  </si>
  <si>
    <t>0.2456</t>
  </si>
  <si>
    <t>0.3224</t>
  </si>
  <si>
    <t>0.3968</t>
  </si>
  <si>
    <t>0.5928</t>
  </si>
  <si>
    <t>0.9592</t>
  </si>
  <si>
    <t>PE管DN200 1.25MP</t>
  </si>
  <si>
    <t>PE管DN300 1.25MP</t>
  </si>
  <si>
    <t>PE管DN400 1.25MP</t>
  </si>
  <si>
    <t>PE管DN500 1.25MP</t>
  </si>
  <si>
    <t>PE管DN600 1.25MP</t>
  </si>
  <si>
    <t>PE管DN800 1.25MP</t>
  </si>
  <si>
    <t>(1.25)</t>
  </si>
  <si>
    <t>1</t>
  </si>
  <si>
    <t>0.0103</t>
  </si>
  <si>
    <t>0.1199</t>
  </si>
  <si>
    <t xml:space="preserve">汽车式起重机 提升质量8t </t>
  </si>
  <si>
    <t>0.0111</t>
  </si>
  <si>
    <t>0.0396</t>
  </si>
  <si>
    <t>0.0563</t>
  </si>
  <si>
    <t>0.0728</t>
  </si>
  <si>
    <t>0.1167</t>
  </si>
  <si>
    <t>0.1674</t>
  </si>
  <si>
    <t>0.0058</t>
  </si>
  <si>
    <t>0.1696</t>
  </si>
  <si>
    <t>裂管法置换旧管（微顶管）</t>
  </si>
  <si>
    <t xml:space="preserve">                                                                         计量单位：米</t>
  </si>
  <si>
    <t>项   目</t>
  </si>
  <si>
    <t>裂管置换管</t>
  </si>
  <si>
    <t xml:space="preserve">       基价（元）</t>
  </si>
  <si>
    <t>人工费（元）</t>
  </si>
  <si>
    <t>材料费（元）</t>
  </si>
  <si>
    <t>机械费（元）</t>
  </si>
  <si>
    <t>工料机名称</t>
  </si>
  <si>
    <t>单价（元）</t>
  </si>
  <si>
    <t>裂管法置换旧管</t>
  </si>
  <si>
    <t>人工</t>
  </si>
  <si>
    <t>（特殊高危作业环境）</t>
  </si>
  <si>
    <t>工日</t>
  </si>
  <si>
    <t>品 牌 一</t>
  </si>
  <si>
    <r>
      <rPr>
        <sz val="11"/>
        <color theme="1"/>
        <rFont val="宋体"/>
        <charset val="134"/>
      </rPr>
      <t>（PN1.60）PEΦ315*28.6</t>
    </r>
    <r>
      <rPr>
        <sz val="11"/>
        <color theme="1"/>
        <rFont val="Times New Roman"/>
        <charset val="134"/>
      </rPr>
      <t>mm</t>
    </r>
  </si>
  <si>
    <r>
      <rPr>
        <sz val="11"/>
        <color theme="1"/>
        <rFont val="宋体"/>
        <charset val="134"/>
      </rPr>
      <t>（PN1.25）PEΦ400*29.4</t>
    </r>
    <r>
      <rPr>
        <sz val="11"/>
        <color theme="1"/>
        <rFont val="Times New Roman"/>
        <charset val="134"/>
      </rPr>
      <t>mm</t>
    </r>
  </si>
  <si>
    <r>
      <rPr>
        <sz val="11"/>
        <color theme="1"/>
        <rFont val="宋体"/>
        <charset val="134"/>
      </rPr>
      <t>（PN1.25）PEΦ500*36.8</t>
    </r>
    <r>
      <rPr>
        <sz val="11"/>
        <color theme="1"/>
        <rFont val="Times New Roman"/>
        <charset val="134"/>
      </rPr>
      <t>mm</t>
    </r>
  </si>
  <si>
    <r>
      <rPr>
        <sz val="11"/>
        <color theme="1"/>
        <rFont val="宋体"/>
        <charset val="134"/>
      </rPr>
      <t>（PN1.25）PEΦ630*46.3</t>
    </r>
    <r>
      <rPr>
        <sz val="11"/>
        <color theme="1"/>
        <rFont val="Times New Roman"/>
        <charset val="134"/>
      </rPr>
      <t>mm</t>
    </r>
  </si>
  <si>
    <t>双道密封圈ND315</t>
  </si>
  <si>
    <t>双道密封圈ND400</t>
  </si>
  <si>
    <t>双道密封圈ND500</t>
  </si>
  <si>
    <t>双道密封圈ND630</t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</si>
  <si>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3</t>
    </r>
  </si>
  <si>
    <t>现场未发现枕木</t>
  </si>
  <si>
    <t>集中二次加工</t>
  </si>
  <si>
    <t>切割机 功率7.5KW</t>
  </si>
  <si>
    <t>加工机床（4000*1200*1500） 功率11KW</t>
  </si>
  <si>
    <t>装车运输载货汽车 装载质量8t</t>
  </si>
  <si>
    <t>施工机械使用</t>
  </si>
  <si>
    <r>
      <rPr>
        <sz val="11"/>
        <color theme="1"/>
        <rFont val="宋体"/>
        <charset val="134"/>
      </rPr>
      <t>液压顶管设备  DN300</t>
    </r>
    <r>
      <rPr>
        <sz val="11"/>
        <color theme="1"/>
        <rFont val="Times New Roman"/>
        <charset val="134"/>
      </rPr>
      <t>mm</t>
    </r>
  </si>
  <si>
    <t>－</t>
  </si>
  <si>
    <r>
      <rPr>
        <sz val="11"/>
        <color theme="1"/>
        <rFont val="宋体"/>
        <charset val="134"/>
      </rPr>
      <t>液压顶管设备  DN400</t>
    </r>
    <r>
      <rPr>
        <sz val="11"/>
        <color theme="1"/>
        <rFont val="Times New Roman"/>
        <charset val="134"/>
      </rPr>
      <t>mm</t>
    </r>
  </si>
  <si>
    <r>
      <rPr>
        <sz val="11"/>
        <color theme="1"/>
        <rFont val="宋体"/>
        <charset val="134"/>
      </rPr>
      <t>液压顶管设备  DN</t>
    </r>
    <r>
      <rPr>
        <sz val="11"/>
        <color rgb="FFFF0000"/>
        <rFont val="宋体"/>
        <charset val="134"/>
      </rPr>
      <t>5</t>
    </r>
    <r>
      <rPr>
        <sz val="11"/>
        <color theme="1"/>
        <rFont val="宋体"/>
        <charset val="134"/>
      </rPr>
      <t>00</t>
    </r>
    <r>
      <rPr>
        <sz val="11"/>
        <color theme="1"/>
        <rFont val="Times New Roman"/>
        <charset val="134"/>
      </rPr>
      <t>mm</t>
    </r>
  </si>
  <si>
    <r>
      <rPr>
        <sz val="11"/>
        <color theme="1"/>
        <rFont val="宋体"/>
        <charset val="134"/>
      </rPr>
      <t>液压顶管设备  DN</t>
    </r>
    <r>
      <rPr>
        <sz val="11"/>
        <color rgb="FFFF0000"/>
        <rFont val="宋体"/>
        <charset val="134"/>
      </rPr>
      <t>6</t>
    </r>
    <r>
      <rPr>
        <sz val="11"/>
        <color theme="1"/>
        <rFont val="宋体"/>
        <charset val="134"/>
      </rPr>
      <t>00</t>
    </r>
    <r>
      <rPr>
        <sz val="11"/>
        <color theme="1"/>
        <rFont val="Times New Roman"/>
        <charset val="134"/>
      </rPr>
      <t>mm</t>
    </r>
  </si>
  <si>
    <t>扩孔机头使用费</t>
  </si>
  <si>
    <r>
      <rPr>
        <sz val="11"/>
        <color theme="1"/>
        <rFont val="宋体"/>
        <charset val="134"/>
      </rPr>
      <t>鼓风机  18m</t>
    </r>
    <r>
      <rPr>
        <sz val="11"/>
        <color theme="1"/>
        <rFont val="宋体"/>
        <charset val="134"/>
      </rPr>
      <t>³</t>
    </r>
    <r>
      <rPr>
        <sz val="11"/>
        <color theme="1"/>
        <rFont val="宋体"/>
        <charset val="134"/>
      </rPr>
      <t>/min</t>
    </r>
  </si>
  <si>
    <t>柴油发电机组  功率50kw</t>
  </si>
  <si>
    <t>其他机械费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</si>
</sst>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[Red]\(0.000\)"/>
    <numFmt numFmtId="177" formatCode="0;[Red]0"/>
    <numFmt numFmtId="178" formatCode="0.00;[Red]0.00"/>
    <numFmt numFmtId="179" formatCode="0.000;[Red]0.000"/>
    <numFmt numFmtId="180" formatCode="0_);[Red]\(0\)"/>
    <numFmt numFmtId="181" formatCode="0.00_ "/>
    <numFmt numFmtId="182" formatCode="0.0000"/>
  </numFmts>
  <fonts count="4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b/>
      <sz val="10"/>
      <name val="等线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8" fontId="0" fillId="0" borderId="4" xfId="0" applyNumberFormat="1" applyBorder="1">
      <alignment vertical="center"/>
    </xf>
    <xf numFmtId="178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>
      <alignment vertical="center"/>
    </xf>
    <xf numFmtId="0" fontId="0" fillId="0" borderId="4" xfId="0" applyFont="1" applyBorder="1" applyAlignment="1">
      <alignment horizontal="left" vertical="center" wrapText="1"/>
    </xf>
    <xf numFmtId="179" fontId="0" fillId="0" borderId="4" xfId="0" applyNumberFormat="1" applyBorder="1">
      <alignment vertical="center"/>
    </xf>
    <xf numFmtId="176" fontId="9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8" fontId="4" fillId="0" borderId="6" xfId="0" applyNumberFormat="1" applyFont="1" applyBorder="1">
      <alignment vertical="center"/>
    </xf>
    <xf numFmtId="180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3" fillId="0" borderId="8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0" fillId="0" borderId="8" xfId="0" applyNumberFormat="1" applyBorder="1">
      <alignment vertical="center"/>
    </xf>
    <xf numFmtId="178" fontId="2" fillId="0" borderId="8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77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9" fontId="0" fillId="0" borderId="8" xfId="0" applyNumberFormat="1" applyBorder="1">
      <alignment vertical="center"/>
    </xf>
    <xf numFmtId="176" fontId="9" fillId="0" borderId="8" xfId="0" applyNumberFormat="1" applyFont="1" applyBorder="1" applyAlignment="1">
      <alignment horizontal="center" vertical="center"/>
    </xf>
    <xf numFmtId="180" fontId="4" fillId="0" borderId="9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81" fontId="10" fillId="0" borderId="4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81" fontId="13" fillId="0" borderId="4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82" fontId="0" fillId="0" borderId="0" xfId="0" applyNumberFormat="1" applyBorder="1">
      <alignment vertical="center"/>
    </xf>
    <xf numFmtId="182" fontId="13" fillId="0" borderId="4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181" fontId="0" fillId="0" borderId="0" xfId="0" applyNumberFormat="1" applyBorder="1">
      <alignment vertical="center"/>
    </xf>
    <xf numFmtId="181" fontId="0" fillId="0" borderId="0" xfId="0" applyNumberFormat="1" applyFill="1" applyBorder="1">
      <alignment vertical="center"/>
    </xf>
    <xf numFmtId="0" fontId="13" fillId="0" borderId="0" xfId="0" applyFont="1" applyFill="1" applyBorder="1">
      <alignment vertical="center"/>
    </xf>
    <xf numFmtId="182" fontId="13" fillId="0" borderId="4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181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8" fontId="14" fillId="0" borderId="4" xfId="0" applyNumberFormat="1" applyFont="1" applyBorder="1">
      <alignment vertical="center"/>
    </xf>
    <xf numFmtId="176" fontId="17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182" fontId="14" fillId="0" borderId="0" xfId="0" applyNumberFormat="1" applyFont="1" applyBorder="1">
      <alignment vertical="center"/>
    </xf>
    <xf numFmtId="182" fontId="14" fillId="0" borderId="0" xfId="0" applyNumberFormat="1" applyFont="1" applyFill="1" applyBorder="1" applyAlignment="1">
      <alignment horizontal="center" vertical="center"/>
    </xf>
    <xf numFmtId="181" fontId="14" fillId="0" borderId="0" xfId="0" applyNumberFormat="1" applyFont="1" applyBorder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>
      <alignment vertical="center"/>
    </xf>
    <xf numFmtId="181" fontId="14" fillId="0" borderId="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182" fontId="14" fillId="0" borderId="0" xfId="0" applyNumberFormat="1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178" fontId="14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5"/>
  <sheetViews>
    <sheetView tabSelected="1" topLeftCell="A3" workbookViewId="0">
      <selection activeCell="O10" sqref="O10"/>
    </sheetView>
  </sheetViews>
  <sheetFormatPr defaultColWidth="9" defaultRowHeight="14.4" outlineLevelCol="7"/>
  <cols>
    <col min="1" max="1" width="6.12962962962963" customWidth="1"/>
    <col min="2" max="2" width="22.1296296296296" style="52" customWidth="1"/>
    <col min="3" max="3" width="5.62962962962963" customWidth="1"/>
    <col min="4" max="4" width="8.75" style="2" customWidth="1"/>
    <col min="5" max="6" width="9.25" customWidth="1"/>
    <col min="7" max="7" width="10.1111111111111" customWidth="1"/>
    <col min="8" max="8" width="10.6666666666667" customWidth="1"/>
  </cols>
  <sheetData>
    <row r="1" s="51" customFormat="1" ht="24.95" customHeight="1" spans="1:8">
      <c r="A1" s="125" t="s">
        <v>0</v>
      </c>
      <c r="B1" s="125"/>
      <c r="C1" s="125"/>
      <c r="D1" s="125"/>
      <c r="E1" s="125"/>
      <c r="F1" s="125"/>
      <c r="G1" s="125"/>
      <c r="H1" s="125"/>
    </row>
    <row r="2" s="51" customFormat="1" ht="63" customHeight="1" spans="1:8">
      <c r="A2" s="126" t="s">
        <v>1</v>
      </c>
      <c r="B2" s="126"/>
      <c r="C2" s="126"/>
      <c r="D2" s="126"/>
      <c r="E2" s="126"/>
      <c r="F2" s="126"/>
      <c r="G2" s="126"/>
      <c r="H2" s="126"/>
    </row>
    <row r="3" s="51" customFormat="1" ht="23.25" customHeight="1" spans="1:8">
      <c r="A3" s="88"/>
      <c r="B3" s="88"/>
      <c r="C3" s="88"/>
      <c r="D3" s="127"/>
      <c r="E3" s="88"/>
      <c r="F3" s="88"/>
      <c r="G3" s="127" t="s">
        <v>2</v>
      </c>
      <c r="H3" s="127"/>
    </row>
    <row r="4" s="51" customFormat="1" ht="19.5" customHeight="1" spans="1:8">
      <c r="A4" s="128" t="s">
        <v>3</v>
      </c>
      <c r="B4" s="129"/>
      <c r="C4" s="129"/>
      <c r="D4" s="130"/>
      <c r="E4" s="91" t="s">
        <v>4</v>
      </c>
      <c r="F4" s="91" t="s">
        <v>5</v>
      </c>
      <c r="G4" s="91" t="s">
        <v>6</v>
      </c>
      <c r="H4" s="91" t="s">
        <v>7</v>
      </c>
    </row>
    <row r="5" s="51" customFormat="1" ht="19.5" customHeight="1" spans="1:8">
      <c r="A5" s="131" t="s">
        <v>8</v>
      </c>
      <c r="B5" s="132"/>
      <c r="C5" s="132"/>
      <c r="D5" s="133"/>
      <c r="E5" s="134" t="s">
        <v>9</v>
      </c>
      <c r="F5" s="134" t="s">
        <v>10</v>
      </c>
      <c r="G5" s="134" t="s">
        <v>11</v>
      </c>
      <c r="H5" s="134" t="s">
        <v>12</v>
      </c>
    </row>
    <row r="6" s="51" customFormat="1" ht="19.5" customHeight="1" spans="1:8">
      <c r="A6" s="131" t="s">
        <v>13</v>
      </c>
      <c r="B6" s="132"/>
      <c r="C6" s="132"/>
      <c r="D6" s="133"/>
      <c r="E6" s="94">
        <v>953.054468</v>
      </c>
      <c r="F6" s="94">
        <v>1546.35517</v>
      </c>
      <c r="G6" s="94">
        <v>2406.678748</v>
      </c>
      <c r="H6" s="94">
        <v>3754.802666</v>
      </c>
    </row>
    <row r="7" s="51" customFormat="1" ht="19.5" customHeight="1" spans="1:8">
      <c r="A7" s="92" t="s">
        <v>14</v>
      </c>
      <c r="B7" s="131" t="s">
        <v>15</v>
      </c>
      <c r="C7" s="132"/>
      <c r="D7" s="133"/>
      <c r="E7" s="94">
        <v>34.269</v>
      </c>
      <c r="F7" s="94">
        <v>68.41</v>
      </c>
      <c r="G7" s="94">
        <v>102.57</v>
      </c>
      <c r="H7" s="94">
        <v>137.013</v>
      </c>
    </row>
    <row r="8" s="51" customFormat="1" ht="19.5" customHeight="1" spans="1:8">
      <c r="A8" s="92"/>
      <c r="B8" s="131" t="s">
        <v>16</v>
      </c>
      <c r="C8" s="132"/>
      <c r="D8" s="133"/>
      <c r="E8" s="94">
        <v>856.038</v>
      </c>
      <c r="F8" s="94">
        <v>1379.49375</v>
      </c>
      <c r="G8" s="94">
        <v>2170.605</v>
      </c>
      <c r="H8" s="94">
        <v>3436.15875</v>
      </c>
    </row>
    <row r="9" s="51" customFormat="1" ht="19.5" customHeight="1" spans="1:8">
      <c r="A9" s="92"/>
      <c r="B9" s="131" t="s">
        <v>17</v>
      </c>
      <c r="C9" s="132"/>
      <c r="D9" s="133"/>
      <c r="E9" s="94">
        <v>62.747468</v>
      </c>
      <c r="F9" s="94">
        <v>98.45142</v>
      </c>
      <c r="G9" s="94">
        <v>133.503748</v>
      </c>
      <c r="H9" s="94">
        <v>181.630916</v>
      </c>
    </row>
    <row r="10" s="51" customFormat="1" ht="19.5" customHeight="1" spans="1:8">
      <c r="A10" s="92" t="s">
        <v>18</v>
      </c>
      <c r="B10" s="92"/>
      <c r="C10" s="92" t="s">
        <v>19</v>
      </c>
      <c r="D10" s="92" t="s">
        <v>20</v>
      </c>
      <c r="E10" s="95" t="s">
        <v>21</v>
      </c>
      <c r="F10" s="95"/>
      <c r="G10" s="95"/>
      <c r="H10" s="95"/>
    </row>
    <row r="11" s="51" customFormat="1" ht="21.75" customHeight="1" spans="1:8">
      <c r="A11" s="96" t="s">
        <v>22</v>
      </c>
      <c r="B11" s="97" t="s">
        <v>23</v>
      </c>
      <c r="C11" s="92" t="s">
        <v>24</v>
      </c>
      <c r="D11" s="135">
        <v>4100</v>
      </c>
      <c r="E11" s="95" t="s">
        <v>25</v>
      </c>
      <c r="F11" s="95"/>
      <c r="G11" s="95"/>
      <c r="H11" s="95"/>
    </row>
    <row r="12" s="51" customFormat="1" ht="21.75" customHeight="1" spans="1:8">
      <c r="A12" s="96"/>
      <c r="B12" s="97" t="s">
        <v>26</v>
      </c>
      <c r="C12" s="92" t="s">
        <v>24</v>
      </c>
      <c r="D12" s="135">
        <v>6000</v>
      </c>
      <c r="E12" s="95"/>
      <c r="F12" s="95" t="s">
        <v>25</v>
      </c>
      <c r="G12" s="95"/>
      <c r="H12" s="95"/>
    </row>
    <row r="13" s="51" customFormat="1" ht="21.75" customHeight="1" spans="1:8">
      <c r="A13" s="96"/>
      <c r="B13" s="97" t="s">
        <v>27</v>
      </c>
      <c r="C13" s="92" t="s">
        <v>24</v>
      </c>
      <c r="D13" s="135">
        <v>7500</v>
      </c>
      <c r="E13" s="95"/>
      <c r="F13" s="95"/>
      <c r="G13" s="95" t="s">
        <v>25</v>
      </c>
      <c r="H13" s="95"/>
    </row>
    <row r="14" s="51" customFormat="1" ht="21.75" customHeight="1" spans="1:8">
      <c r="A14" s="96"/>
      <c r="B14" s="97" t="s">
        <v>28</v>
      </c>
      <c r="C14" s="92" t="s">
        <v>24</v>
      </c>
      <c r="D14" s="135">
        <v>11500</v>
      </c>
      <c r="E14" s="95"/>
      <c r="F14" s="95"/>
      <c r="G14" s="95"/>
      <c r="H14" s="95" t="s">
        <v>25</v>
      </c>
    </row>
    <row r="15" s="51" customFormat="1" ht="29.25" customHeight="1" spans="1:8">
      <c r="A15" s="96"/>
      <c r="B15" s="99" t="s">
        <v>29</v>
      </c>
      <c r="C15" s="92" t="s">
        <v>30</v>
      </c>
      <c r="D15" s="98">
        <v>622.72</v>
      </c>
      <c r="E15" s="95" t="s">
        <v>31</v>
      </c>
      <c r="F15" s="95"/>
      <c r="G15" s="95"/>
      <c r="H15" s="95"/>
    </row>
    <row r="16" s="51" customFormat="1" ht="29.25" customHeight="1" spans="1:8">
      <c r="A16" s="96"/>
      <c r="B16" s="99" t="s">
        <v>32</v>
      </c>
      <c r="C16" s="92" t="s">
        <v>30</v>
      </c>
      <c r="D16" s="98">
        <v>997.42</v>
      </c>
      <c r="E16" s="95"/>
      <c r="F16" s="95" t="s">
        <v>31</v>
      </c>
      <c r="G16" s="95"/>
      <c r="H16" s="95"/>
    </row>
    <row r="17" s="51" customFormat="1" ht="29.25" customHeight="1" spans="1:8">
      <c r="A17" s="96"/>
      <c r="B17" s="99" t="s">
        <v>33</v>
      </c>
      <c r="C17" s="92" t="s">
        <v>30</v>
      </c>
      <c r="D17" s="98">
        <v>1577.68</v>
      </c>
      <c r="E17" s="95"/>
      <c r="F17" s="95"/>
      <c r="G17" s="95" t="s">
        <v>31</v>
      </c>
      <c r="H17" s="95"/>
    </row>
    <row r="18" s="51" customFormat="1" ht="29.25" customHeight="1" spans="1:8">
      <c r="A18" s="96"/>
      <c r="B18" s="99" t="s">
        <v>34</v>
      </c>
      <c r="C18" s="92" t="s">
        <v>30</v>
      </c>
      <c r="D18" s="98">
        <v>2475.5</v>
      </c>
      <c r="E18" s="95"/>
      <c r="F18" s="95"/>
      <c r="G18" s="95"/>
      <c r="H18" s="95" t="s">
        <v>31</v>
      </c>
    </row>
    <row r="19" s="51" customFormat="1" ht="20.25" customHeight="1" spans="1:8">
      <c r="A19" s="96"/>
      <c r="B19" s="100" t="s">
        <v>35</v>
      </c>
      <c r="C19" s="101" t="s">
        <v>36</v>
      </c>
      <c r="D19" s="136">
        <v>15</v>
      </c>
      <c r="E19" s="102">
        <v>0.4</v>
      </c>
      <c r="F19" s="102">
        <v>0.45</v>
      </c>
      <c r="G19" s="102">
        <v>0.5</v>
      </c>
      <c r="H19" s="102">
        <v>0.55</v>
      </c>
    </row>
    <row r="20" s="51" customFormat="1" ht="20.25" customHeight="1" spans="1:8">
      <c r="A20" s="96"/>
      <c r="B20" s="104" t="s">
        <v>37</v>
      </c>
      <c r="C20" s="92" t="s">
        <v>38</v>
      </c>
      <c r="D20" s="98">
        <v>1</v>
      </c>
      <c r="E20" s="95" t="s">
        <v>39</v>
      </c>
      <c r="F20" s="95" t="s">
        <v>39</v>
      </c>
      <c r="G20" s="95" t="s">
        <v>39</v>
      </c>
      <c r="H20" s="95" t="s">
        <v>39</v>
      </c>
    </row>
    <row r="21" s="51" customFormat="1" ht="28.5" customHeight="1" spans="1:8">
      <c r="A21" s="92" t="s">
        <v>40</v>
      </c>
      <c r="B21" s="137" t="s">
        <v>41</v>
      </c>
      <c r="C21" s="98" t="s">
        <v>42</v>
      </c>
      <c r="D21" s="98">
        <v>620.86</v>
      </c>
      <c r="E21" s="107" t="s">
        <v>43</v>
      </c>
      <c r="F21" s="107" t="s">
        <v>44</v>
      </c>
      <c r="G21" s="107" t="s">
        <v>45</v>
      </c>
      <c r="H21" s="107" t="s">
        <v>46</v>
      </c>
    </row>
    <row r="22" s="51" customFormat="1" ht="24" customHeight="1" spans="1:8">
      <c r="A22" s="92"/>
      <c r="B22" s="100" t="s">
        <v>47</v>
      </c>
      <c r="C22" s="108" t="s">
        <v>42</v>
      </c>
      <c r="D22" s="98">
        <v>7.95</v>
      </c>
      <c r="E22" s="110">
        <v>0.0667</v>
      </c>
      <c r="F22" s="110">
        <v>0.0875</v>
      </c>
      <c r="G22" s="110">
        <v>0.1077</v>
      </c>
      <c r="H22" s="110">
        <v>0.1609</v>
      </c>
    </row>
    <row r="23" s="51" customFormat="1" ht="24" customHeight="1" spans="1:8">
      <c r="A23" s="92"/>
      <c r="B23" s="112" t="s">
        <v>48</v>
      </c>
      <c r="C23" s="108" t="s">
        <v>42</v>
      </c>
      <c r="D23" s="136">
        <v>44.83</v>
      </c>
      <c r="E23" s="110">
        <v>0.0667</v>
      </c>
      <c r="F23" s="110">
        <v>0.0875</v>
      </c>
      <c r="G23" s="110">
        <v>0.1077</v>
      </c>
      <c r="H23" s="110">
        <v>0.1609</v>
      </c>
    </row>
    <row r="24" s="51" customFormat="1" ht="24" customHeight="1" spans="1:8">
      <c r="A24" s="92"/>
      <c r="B24" s="112" t="s">
        <v>49</v>
      </c>
      <c r="C24" s="108" t="s">
        <v>42</v>
      </c>
      <c r="D24" s="136">
        <v>252.05</v>
      </c>
      <c r="E24" s="95" t="s">
        <v>50</v>
      </c>
      <c r="F24" s="95" t="s">
        <v>51</v>
      </c>
      <c r="G24" s="95" t="s">
        <v>52</v>
      </c>
      <c r="H24" s="95" t="s">
        <v>53</v>
      </c>
    </row>
    <row r="25" s="51" customFormat="1" ht="24" customHeight="1" spans="1:8">
      <c r="A25" s="92"/>
      <c r="B25" s="104" t="s">
        <v>54</v>
      </c>
      <c r="C25" s="92" t="s">
        <v>42</v>
      </c>
      <c r="D25" s="98">
        <v>572.75</v>
      </c>
      <c r="E25" s="95" t="s">
        <v>50</v>
      </c>
      <c r="F25" s="95" t="s">
        <v>51</v>
      </c>
      <c r="G25" s="95" t="s">
        <v>52</v>
      </c>
      <c r="H25" s="95" t="s">
        <v>53</v>
      </c>
    </row>
    <row r="65" spans="2:2">
      <c r="B65" s="138"/>
    </row>
  </sheetData>
  <mergeCells count="14">
    <mergeCell ref="A1:H1"/>
    <mergeCell ref="A2:H2"/>
    <mergeCell ref="G3:H3"/>
    <mergeCell ref="A4:D4"/>
    <mergeCell ref="A5:D5"/>
    <mergeCell ref="A6:D6"/>
    <mergeCell ref="B7:D7"/>
    <mergeCell ref="B8:D8"/>
    <mergeCell ref="B9:D9"/>
    <mergeCell ref="A10:B10"/>
    <mergeCell ref="E10:H10"/>
    <mergeCell ref="A7:A9"/>
    <mergeCell ref="A11:A20"/>
    <mergeCell ref="A21:A25"/>
  </mergeCells>
  <printOptions horizontalCentered="1"/>
  <pageMargins left="0.429861111111111" right="0.429861111111111" top="0.747916666666667" bottom="0.747916666666667" header="0.313888888888889" footer="0.313888888888889"/>
  <pageSetup paperSize="9" orientation="portrait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6"/>
  <sheetViews>
    <sheetView workbookViewId="0">
      <selection activeCell="D32" sqref="D32"/>
    </sheetView>
  </sheetViews>
  <sheetFormatPr defaultColWidth="9" defaultRowHeight="14.4"/>
  <cols>
    <col min="1" max="1" width="6.12962962962963" customWidth="1"/>
    <col min="2" max="2" width="22.1296296296296" style="52" customWidth="1"/>
    <col min="3" max="3" width="5.62962962962963" customWidth="1"/>
    <col min="4" max="4" width="8.75" customWidth="1"/>
    <col min="5" max="8" width="9.25" customWidth="1"/>
    <col min="9" max="12" width="7.37962962962963" customWidth="1"/>
    <col min="13" max="13" width="5" customWidth="1"/>
    <col min="14" max="14" width="10.25" customWidth="1"/>
    <col min="15" max="15" width="8.87962962962963" customWidth="1"/>
    <col min="16" max="16" width="8.75" customWidth="1"/>
  </cols>
  <sheetData>
    <row r="1" s="51" customFormat="1" ht="24.95" customHeight="1" spans="1:10">
      <c r="A1" s="53" t="s">
        <v>55</v>
      </c>
      <c r="B1" s="53"/>
      <c r="C1" s="53"/>
      <c r="D1" s="53"/>
      <c r="E1" s="53"/>
      <c r="F1" s="53"/>
      <c r="G1" s="53"/>
      <c r="H1" s="53"/>
      <c r="I1" s="113"/>
      <c r="J1" s="53"/>
    </row>
    <row r="2" s="51" customFormat="1" ht="34.5" customHeight="1" spans="1:17">
      <c r="A2" s="87" t="s">
        <v>56</v>
      </c>
      <c r="B2" s="87"/>
      <c r="C2" s="87"/>
      <c r="D2" s="87"/>
      <c r="E2" s="87"/>
      <c r="F2" s="87"/>
      <c r="G2" s="87"/>
      <c r="H2" s="87"/>
      <c r="I2" s="114"/>
      <c r="J2" s="115"/>
      <c r="K2" s="116"/>
      <c r="L2" s="116"/>
      <c r="M2" s="116"/>
      <c r="N2" s="116"/>
      <c r="O2" s="116"/>
      <c r="P2" s="116"/>
      <c r="Q2" s="116"/>
    </row>
    <row r="3" s="51" customFormat="1" ht="23.25" customHeight="1" spans="1:17">
      <c r="A3" s="88"/>
      <c r="B3" s="88"/>
      <c r="C3" s="88"/>
      <c r="D3" s="88"/>
      <c r="E3" s="88"/>
      <c r="F3" s="88"/>
      <c r="G3" s="89" t="s">
        <v>2</v>
      </c>
      <c r="H3" s="89"/>
      <c r="I3" s="114"/>
      <c r="J3" s="115"/>
      <c r="K3" s="116"/>
      <c r="L3" s="116"/>
      <c r="M3" s="116"/>
      <c r="N3" s="116"/>
      <c r="O3" s="116"/>
      <c r="P3" s="116"/>
      <c r="Q3" s="116"/>
    </row>
    <row r="4" s="51" customFormat="1" ht="19.5" customHeight="1" spans="1:17">
      <c r="A4" s="90" t="s">
        <v>3</v>
      </c>
      <c r="B4" s="90"/>
      <c r="C4" s="90"/>
      <c r="D4" s="90"/>
      <c r="E4" s="91" t="s">
        <v>4</v>
      </c>
      <c r="F4" s="91" t="s">
        <v>5</v>
      </c>
      <c r="G4" s="91" t="s">
        <v>6</v>
      </c>
      <c r="H4" s="91" t="s">
        <v>7</v>
      </c>
      <c r="I4" s="115"/>
      <c r="J4" s="115"/>
      <c r="K4" s="116"/>
      <c r="L4" s="116"/>
      <c r="M4" s="116"/>
      <c r="N4" s="116"/>
      <c r="O4" s="116">
        <f>4800*0.03</f>
        <v>144</v>
      </c>
      <c r="P4" s="116"/>
      <c r="Q4" s="116"/>
    </row>
    <row r="5" s="51" customFormat="1" ht="19.5" customHeight="1" spans="1:17">
      <c r="A5" s="92" t="s">
        <v>8</v>
      </c>
      <c r="B5" s="92"/>
      <c r="C5" s="92"/>
      <c r="D5" s="92"/>
      <c r="E5" s="93" t="s">
        <v>9</v>
      </c>
      <c r="F5" s="93" t="s">
        <v>10</v>
      </c>
      <c r="G5" s="93" t="s">
        <v>11</v>
      </c>
      <c r="H5" s="93" t="s">
        <v>12</v>
      </c>
      <c r="I5" s="115"/>
      <c r="J5" s="115"/>
      <c r="K5" s="116"/>
      <c r="L5" s="116"/>
      <c r="M5" s="116"/>
      <c r="N5" s="116"/>
      <c r="O5" s="116"/>
      <c r="P5" s="116"/>
      <c r="Q5" s="116"/>
    </row>
    <row r="6" s="51" customFormat="1" ht="19.5" customHeight="1" spans="1:17">
      <c r="A6" s="92" t="s">
        <v>13</v>
      </c>
      <c r="B6" s="92"/>
      <c r="C6" s="92"/>
      <c r="D6" s="92"/>
      <c r="E6" s="94">
        <f t="shared" ref="E6:H6" si="0">E7+E8+E9</f>
        <v>1316.070292</v>
      </c>
      <c r="F6" s="94">
        <f t="shared" si="0"/>
        <v>1910.907919</v>
      </c>
      <c r="G6" s="94">
        <f t="shared" si="0"/>
        <v>2739.576815</v>
      </c>
      <c r="H6" s="94">
        <f t="shared" si="0"/>
        <v>4078.454893</v>
      </c>
      <c r="I6" s="115"/>
      <c r="J6" s="115"/>
      <c r="K6" s="116"/>
      <c r="L6" s="116"/>
      <c r="M6" s="116"/>
      <c r="N6" s="116"/>
      <c r="O6" s="116"/>
      <c r="P6" s="116"/>
      <c r="Q6" s="116"/>
    </row>
    <row r="7" s="51" customFormat="1" ht="19.5" customHeight="1" spans="1:17">
      <c r="A7" s="92" t="s">
        <v>14</v>
      </c>
      <c r="B7" s="92" t="s">
        <v>15</v>
      </c>
      <c r="C7" s="92"/>
      <c r="D7" s="92"/>
      <c r="E7" s="94">
        <v>34.269</v>
      </c>
      <c r="F7" s="94">
        <v>68.41</v>
      </c>
      <c r="G7" s="94">
        <v>102.57</v>
      </c>
      <c r="H7" s="94">
        <v>137.013</v>
      </c>
      <c r="I7" s="117"/>
      <c r="J7" s="117"/>
      <c r="K7" s="118"/>
      <c r="L7" s="116"/>
      <c r="M7" s="116"/>
      <c r="N7" s="116"/>
      <c r="O7" s="116"/>
      <c r="P7" s="116"/>
      <c r="Q7" s="116"/>
    </row>
    <row r="8" s="51" customFormat="1" ht="19.5" customHeight="1" spans="1:17">
      <c r="A8" s="92"/>
      <c r="B8" s="92" t="s">
        <v>16</v>
      </c>
      <c r="C8" s="92"/>
      <c r="D8" s="92"/>
      <c r="E8" s="94">
        <f>N8</f>
        <v>1002.973675</v>
      </c>
      <c r="F8" s="94">
        <f t="shared" ref="F8:H9" si="1">O8</f>
        <v>1457.185175</v>
      </c>
      <c r="G8" s="94">
        <f t="shared" si="1"/>
        <v>2145.35055</v>
      </c>
      <c r="H8" s="94">
        <f t="shared" si="1"/>
        <v>3219.780325</v>
      </c>
      <c r="I8" s="116"/>
      <c r="J8" s="116"/>
      <c r="K8" s="118"/>
      <c r="L8" s="116"/>
      <c r="M8" s="116"/>
      <c r="N8" s="119">
        <f>SUM(N11:N21)</f>
        <v>1002.973675</v>
      </c>
      <c r="O8" s="119">
        <f t="shared" ref="O8:Q8" si="2">SUM(O11:O21)</f>
        <v>1457.185175</v>
      </c>
      <c r="P8" s="119">
        <f t="shared" si="2"/>
        <v>2145.35055</v>
      </c>
      <c r="Q8" s="119">
        <f t="shared" si="2"/>
        <v>3219.780325</v>
      </c>
    </row>
    <row r="9" s="51" customFormat="1" ht="19.5" customHeight="1" spans="1:17">
      <c r="A9" s="92"/>
      <c r="B9" s="92" t="s">
        <v>17</v>
      </c>
      <c r="C9" s="92"/>
      <c r="D9" s="92"/>
      <c r="E9" s="94">
        <f>N9</f>
        <v>278.827617</v>
      </c>
      <c r="F9" s="94">
        <f t="shared" si="1"/>
        <v>385.312744</v>
      </c>
      <c r="G9" s="94">
        <f t="shared" si="1"/>
        <v>491.656265</v>
      </c>
      <c r="H9" s="94">
        <f t="shared" si="1"/>
        <v>721.661568</v>
      </c>
      <c r="I9" s="116"/>
      <c r="J9" s="116"/>
      <c r="K9" s="118"/>
      <c r="L9" s="116"/>
      <c r="M9" s="116"/>
      <c r="N9" s="119">
        <f t="shared" ref="N9:Q9" si="3">SUM(N22:N30)</f>
        <v>278.827617</v>
      </c>
      <c r="O9" s="119">
        <f t="shared" si="3"/>
        <v>385.312744</v>
      </c>
      <c r="P9" s="119">
        <f t="shared" si="3"/>
        <v>491.656265</v>
      </c>
      <c r="Q9" s="119">
        <f t="shared" si="3"/>
        <v>721.661568</v>
      </c>
    </row>
    <row r="10" s="51" customFormat="1" ht="19.5" customHeight="1" spans="1:17">
      <c r="A10" s="92" t="s">
        <v>18</v>
      </c>
      <c r="B10" s="92"/>
      <c r="C10" s="92" t="s">
        <v>19</v>
      </c>
      <c r="D10" s="92" t="s">
        <v>20</v>
      </c>
      <c r="E10" s="95" t="s">
        <v>21</v>
      </c>
      <c r="F10" s="95"/>
      <c r="G10" s="95"/>
      <c r="H10" s="95"/>
      <c r="I10" s="115" t="s">
        <v>57</v>
      </c>
      <c r="J10" s="115" t="s">
        <v>57</v>
      </c>
      <c r="K10" s="116"/>
      <c r="L10" s="116"/>
      <c r="M10" s="116"/>
      <c r="N10" s="116"/>
      <c r="O10" s="116"/>
      <c r="P10" s="116"/>
      <c r="Q10" s="116"/>
    </row>
    <row r="11" s="51" customFormat="1" ht="21.75" customHeight="1" spans="1:17">
      <c r="A11" s="96" t="s">
        <v>22</v>
      </c>
      <c r="B11" s="97" t="s">
        <v>23</v>
      </c>
      <c r="C11" s="92" t="s">
        <v>24</v>
      </c>
      <c r="D11" s="98">
        <v>4300</v>
      </c>
      <c r="E11" s="95" t="s">
        <v>25</v>
      </c>
      <c r="F11" s="95"/>
      <c r="G11" s="95"/>
      <c r="H11" s="95"/>
      <c r="I11" s="115"/>
      <c r="J11" s="115"/>
      <c r="K11" s="116"/>
      <c r="L11" s="116"/>
      <c r="M11" s="116"/>
      <c r="N11" s="119">
        <f>D11*0.0076</f>
        <v>32.68</v>
      </c>
      <c r="O11" s="119"/>
      <c r="P11" s="119"/>
      <c r="Q11" s="119"/>
    </row>
    <row r="12" s="51" customFormat="1" ht="21.75" customHeight="1" spans="1:17">
      <c r="A12" s="96"/>
      <c r="B12" s="97" t="s">
        <v>26</v>
      </c>
      <c r="C12" s="92" t="s">
        <v>24</v>
      </c>
      <c r="D12" s="98">
        <v>4800</v>
      </c>
      <c r="E12" s="95"/>
      <c r="F12" s="95" t="s">
        <v>25</v>
      </c>
      <c r="G12" s="95"/>
      <c r="H12" s="95"/>
      <c r="I12" s="115"/>
      <c r="J12" s="120"/>
      <c r="K12" s="116"/>
      <c r="L12" s="116"/>
      <c r="M12" s="116"/>
      <c r="N12" s="119"/>
      <c r="O12" s="119">
        <f>D12*0.0096</f>
        <v>46.08</v>
      </c>
      <c r="P12" s="119"/>
      <c r="Q12" s="119"/>
    </row>
    <row r="13" s="51" customFormat="1" ht="21.75" customHeight="1" spans="1:17">
      <c r="A13" s="96"/>
      <c r="B13" s="97" t="s">
        <v>27</v>
      </c>
      <c r="C13" s="92" t="s">
        <v>24</v>
      </c>
      <c r="D13" s="98">
        <f>D12+600</f>
        <v>5400</v>
      </c>
      <c r="E13" s="95"/>
      <c r="F13" s="95"/>
      <c r="G13" s="95" t="s">
        <v>25</v>
      </c>
      <c r="H13" s="95"/>
      <c r="I13" s="115"/>
      <c r="J13" s="115"/>
      <c r="K13" s="121"/>
      <c r="L13" s="116"/>
      <c r="M13" s="116"/>
      <c r="N13" s="119"/>
      <c r="O13" s="119"/>
      <c r="P13" s="119">
        <f>D13*0.0112</f>
        <v>60.48</v>
      </c>
      <c r="Q13" s="119"/>
    </row>
    <row r="14" s="51" customFormat="1" ht="21.75" customHeight="1" spans="1:17">
      <c r="A14" s="96"/>
      <c r="B14" s="97" t="s">
        <v>28</v>
      </c>
      <c r="C14" s="92" t="s">
        <v>24</v>
      </c>
      <c r="D14" s="98">
        <f>D13+700</f>
        <v>6100</v>
      </c>
      <c r="E14" s="95"/>
      <c r="F14" s="95"/>
      <c r="G14" s="95"/>
      <c r="H14" s="95" t="s">
        <v>25</v>
      </c>
      <c r="I14" s="115"/>
      <c r="J14" s="115"/>
      <c r="K14" s="116"/>
      <c r="L14" s="121"/>
      <c r="M14" s="116"/>
      <c r="N14" s="122"/>
      <c r="O14" s="119"/>
      <c r="P14" s="119"/>
      <c r="Q14" s="119">
        <f>D14*0.0142</f>
        <v>86.62</v>
      </c>
    </row>
    <row r="15" s="51" customFormat="1" ht="29.25" customHeight="1" spans="1:17">
      <c r="A15" s="96"/>
      <c r="B15" s="99" t="s">
        <v>58</v>
      </c>
      <c r="C15" s="92" t="s">
        <v>30</v>
      </c>
      <c r="D15" s="92">
        <f t="shared" ref="D15:D18" si="4">ROUND(M15*1.3,2)</f>
        <v>570.35</v>
      </c>
      <c r="E15" s="95" t="s">
        <v>31</v>
      </c>
      <c r="F15" s="95"/>
      <c r="G15" s="95"/>
      <c r="H15" s="95"/>
      <c r="I15" s="123"/>
      <c r="J15" s="123"/>
      <c r="K15" s="116"/>
      <c r="L15" s="116"/>
      <c r="M15" s="116">
        <v>438.73</v>
      </c>
      <c r="N15" s="119">
        <f>D15*1.25</f>
        <v>712.9375</v>
      </c>
      <c r="O15" s="119"/>
      <c r="P15" s="119"/>
      <c r="Q15" s="119"/>
    </row>
    <row r="16" s="51" customFormat="1" ht="29.25" customHeight="1" spans="1:17">
      <c r="A16" s="96"/>
      <c r="B16" s="99" t="s">
        <v>32</v>
      </c>
      <c r="C16" s="92" t="s">
        <v>30</v>
      </c>
      <c r="D16" s="92">
        <f t="shared" si="4"/>
        <v>916.55</v>
      </c>
      <c r="E16" s="95"/>
      <c r="F16" s="95" t="s">
        <v>31</v>
      </c>
      <c r="G16" s="95"/>
      <c r="H16" s="95"/>
      <c r="I16" s="123"/>
      <c r="J16" s="123"/>
      <c r="K16" s="116"/>
      <c r="L16" s="116"/>
      <c r="M16" s="116">
        <v>705.04</v>
      </c>
      <c r="N16" s="119"/>
      <c r="O16" s="119">
        <f>D16*1.25</f>
        <v>1145.6875</v>
      </c>
      <c r="P16" s="119"/>
      <c r="Q16" s="119"/>
    </row>
    <row r="17" s="51" customFormat="1" ht="29.25" customHeight="1" spans="1:17">
      <c r="A17" s="96"/>
      <c r="B17" s="99" t="s">
        <v>33</v>
      </c>
      <c r="C17" s="92" t="s">
        <v>30</v>
      </c>
      <c r="D17" s="92">
        <f t="shared" si="4"/>
        <v>1447.26</v>
      </c>
      <c r="E17" s="95"/>
      <c r="F17" s="95"/>
      <c r="G17" s="95" t="s">
        <v>31</v>
      </c>
      <c r="H17" s="95"/>
      <c r="I17" s="123"/>
      <c r="J17" s="123"/>
      <c r="K17" s="116"/>
      <c r="L17" s="116"/>
      <c r="M17" s="116">
        <v>1113.28</v>
      </c>
      <c r="N17" s="119"/>
      <c r="O17" s="119"/>
      <c r="P17" s="119">
        <f>D17*1.25</f>
        <v>1809.075</v>
      </c>
      <c r="Q17" s="119"/>
    </row>
    <row r="18" s="51" customFormat="1" ht="29.25" customHeight="1" spans="1:17">
      <c r="A18" s="96"/>
      <c r="B18" s="99" t="s">
        <v>34</v>
      </c>
      <c r="C18" s="92" t="s">
        <v>30</v>
      </c>
      <c r="D18" s="92">
        <f t="shared" si="4"/>
        <v>2274.53</v>
      </c>
      <c r="E18" s="95"/>
      <c r="F18" s="95"/>
      <c r="G18" s="95"/>
      <c r="H18" s="95" t="s">
        <v>31</v>
      </c>
      <c r="I18" s="123"/>
      <c r="J18" s="123"/>
      <c r="K18" s="116"/>
      <c r="L18" s="116"/>
      <c r="M18" s="116">
        <v>1749.64</v>
      </c>
      <c r="N18" s="119"/>
      <c r="O18" s="119"/>
      <c r="P18" s="119"/>
      <c r="Q18" s="119">
        <f>D18*1.25</f>
        <v>2843.1625</v>
      </c>
    </row>
    <row r="19" s="51" customFormat="1" ht="20.25" customHeight="1" spans="1:17">
      <c r="A19" s="96"/>
      <c r="B19" s="100" t="s">
        <v>59</v>
      </c>
      <c r="C19" s="101" t="s">
        <v>36</v>
      </c>
      <c r="D19" s="102">
        <v>72</v>
      </c>
      <c r="E19" s="102">
        <v>0.4</v>
      </c>
      <c r="F19" s="102">
        <v>0.45</v>
      </c>
      <c r="G19" s="102">
        <v>0.5</v>
      </c>
      <c r="H19" s="102">
        <v>0.55</v>
      </c>
      <c r="I19" s="123"/>
      <c r="J19" s="123"/>
      <c r="K19" s="116"/>
      <c r="L19" s="116"/>
      <c r="M19" s="116"/>
      <c r="N19" s="119">
        <f>$D$19*E19</f>
        <v>28.8</v>
      </c>
      <c r="O19" s="119">
        <f t="shared" ref="O19:Q19" si="5">$D$19*F19</f>
        <v>32.4</v>
      </c>
      <c r="P19" s="119">
        <f t="shared" si="5"/>
        <v>36</v>
      </c>
      <c r="Q19" s="119">
        <f t="shared" si="5"/>
        <v>39.6</v>
      </c>
    </row>
    <row r="20" s="51" customFormat="1" ht="20.25" customHeight="1" spans="1:17">
      <c r="A20" s="96"/>
      <c r="B20" s="100" t="s">
        <v>60</v>
      </c>
      <c r="C20" s="103" t="s">
        <v>61</v>
      </c>
      <c r="D20" s="102">
        <v>2211</v>
      </c>
      <c r="E20" s="102">
        <v>0.1</v>
      </c>
      <c r="F20" s="102">
        <v>0.1</v>
      </c>
      <c r="G20" s="102">
        <v>0.1</v>
      </c>
      <c r="H20" s="102">
        <v>0.1</v>
      </c>
      <c r="I20" s="123"/>
      <c r="J20" s="123"/>
      <c r="K20" s="116"/>
      <c r="L20" s="116"/>
      <c r="M20" s="116"/>
      <c r="N20" s="119">
        <f>$D$20*E20</f>
        <v>221.1</v>
      </c>
      <c r="O20" s="119">
        <f t="shared" ref="O20:Q20" si="6">$D$20*F20</f>
        <v>221.1</v>
      </c>
      <c r="P20" s="119">
        <f t="shared" si="6"/>
        <v>221.1</v>
      </c>
      <c r="Q20" s="119">
        <f t="shared" si="6"/>
        <v>221.1</v>
      </c>
    </row>
    <row r="21" s="51" customFormat="1" ht="20.25" customHeight="1" spans="1:17">
      <c r="A21" s="96"/>
      <c r="B21" s="104" t="s">
        <v>37</v>
      </c>
      <c r="C21" s="92" t="s">
        <v>38</v>
      </c>
      <c r="D21" s="98">
        <v>1</v>
      </c>
      <c r="E21" s="95" t="s">
        <v>39</v>
      </c>
      <c r="F21" s="95" t="s">
        <v>39</v>
      </c>
      <c r="G21" s="95" t="s">
        <v>39</v>
      </c>
      <c r="H21" s="95" t="s">
        <v>39</v>
      </c>
      <c r="I21" s="123"/>
      <c r="J21" s="123"/>
      <c r="K21" s="116"/>
      <c r="L21" s="116"/>
      <c r="M21" s="116"/>
      <c r="N21" s="119">
        <f t="shared" ref="N21:Q21" si="7">SUM(N11:N18)*0.01</f>
        <v>7.456175</v>
      </c>
      <c r="O21" s="119">
        <f t="shared" si="7"/>
        <v>11.917675</v>
      </c>
      <c r="P21" s="119">
        <f t="shared" si="7"/>
        <v>18.69555</v>
      </c>
      <c r="Q21" s="119">
        <f t="shared" si="7"/>
        <v>29.297825</v>
      </c>
    </row>
    <row r="22" s="51" customFormat="1" ht="28.5" customHeight="1" spans="1:17">
      <c r="A22" s="92" t="s">
        <v>40</v>
      </c>
      <c r="B22" s="105" t="s">
        <v>62</v>
      </c>
      <c r="C22" s="92" t="s">
        <v>42</v>
      </c>
      <c r="D22" s="106">
        <v>7409.9</v>
      </c>
      <c r="E22" s="107" t="s">
        <v>63</v>
      </c>
      <c r="F22" s="107" t="s">
        <v>64</v>
      </c>
      <c r="G22" s="107" t="s">
        <v>65</v>
      </c>
      <c r="H22" s="107" t="s">
        <v>66</v>
      </c>
      <c r="I22" s="123"/>
      <c r="J22" s="123"/>
      <c r="K22" s="116"/>
      <c r="L22" s="116"/>
      <c r="M22" s="116"/>
      <c r="N22" s="119">
        <f>D22*E22</f>
        <v>227.48393</v>
      </c>
      <c r="O22" s="119">
        <f>D22*F22</f>
        <v>298.61897</v>
      </c>
      <c r="P22" s="119">
        <f>D22*G22</f>
        <v>367.53104</v>
      </c>
      <c r="Q22" s="119">
        <f>D22*H22</f>
        <v>549.07359</v>
      </c>
    </row>
    <row r="23" s="51" customFormat="1" ht="24" customHeight="1" spans="1:17">
      <c r="A23" s="92"/>
      <c r="B23" s="100" t="s">
        <v>67</v>
      </c>
      <c r="C23" s="108" t="s">
        <v>42</v>
      </c>
      <c r="D23" s="109">
        <v>905.63</v>
      </c>
      <c r="E23" s="110" t="str">
        <f>E22</f>
        <v>0.0307</v>
      </c>
      <c r="F23" s="111"/>
      <c r="G23" s="111"/>
      <c r="H23" s="111"/>
      <c r="I23" s="123"/>
      <c r="J23" s="123"/>
      <c r="K23" s="116"/>
      <c r="L23" s="116"/>
      <c r="M23" s="116"/>
      <c r="N23" s="119">
        <f t="shared" ref="N23:N26" si="8">D23*E23</f>
        <v>27.802841</v>
      </c>
      <c r="O23" s="119">
        <f t="shared" ref="O23:O26" si="9">D23*F23</f>
        <v>0</v>
      </c>
      <c r="P23" s="119">
        <f t="shared" ref="P23:P26" si="10">D23*G23</f>
        <v>0</v>
      </c>
      <c r="Q23" s="119">
        <f t="shared" ref="Q23:Q26" si="11">D23*H23</f>
        <v>0</v>
      </c>
    </row>
    <row r="24" s="51" customFormat="1" ht="24" customHeight="1" spans="1:17">
      <c r="A24" s="92"/>
      <c r="B24" s="100" t="s">
        <v>68</v>
      </c>
      <c r="C24" s="108" t="s">
        <v>42</v>
      </c>
      <c r="D24" s="109">
        <v>980.25</v>
      </c>
      <c r="E24" s="111"/>
      <c r="F24" s="110" t="str">
        <f>F22</f>
        <v>0.0403</v>
      </c>
      <c r="G24" s="111"/>
      <c r="H24" s="111"/>
      <c r="I24" s="123"/>
      <c r="J24" s="123"/>
      <c r="K24" s="116"/>
      <c r="L24" s="116"/>
      <c r="M24" s="116"/>
      <c r="N24" s="119">
        <f t="shared" si="8"/>
        <v>0</v>
      </c>
      <c r="O24" s="119">
        <f t="shared" si="9"/>
        <v>39.504075</v>
      </c>
      <c r="P24" s="119">
        <f t="shared" si="10"/>
        <v>0</v>
      </c>
      <c r="Q24" s="119">
        <f t="shared" si="11"/>
        <v>0</v>
      </c>
    </row>
    <row r="25" s="51" customFormat="1" ht="24" customHeight="1" spans="1:17">
      <c r="A25" s="92"/>
      <c r="B25" s="100" t="s">
        <v>69</v>
      </c>
      <c r="C25" s="108" t="s">
        <v>42</v>
      </c>
      <c r="D25" s="109">
        <v>1080.46</v>
      </c>
      <c r="E25" s="111"/>
      <c r="F25" s="111"/>
      <c r="G25" s="110" t="str">
        <f>G22</f>
        <v>0.0496</v>
      </c>
      <c r="H25" s="111"/>
      <c r="I25" s="123"/>
      <c r="J25" s="123"/>
      <c r="K25" s="116"/>
      <c r="L25" s="116"/>
      <c r="M25" s="116"/>
      <c r="N25" s="119">
        <f t="shared" si="8"/>
        <v>0</v>
      </c>
      <c r="O25" s="119">
        <f t="shared" si="9"/>
        <v>0</v>
      </c>
      <c r="P25" s="119">
        <f t="shared" si="10"/>
        <v>53.590816</v>
      </c>
      <c r="Q25" s="119">
        <f t="shared" si="11"/>
        <v>0</v>
      </c>
    </row>
    <row r="26" s="51" customFormat="1" ht="24" customHeight="1" spans="1:17">
      <c r="A26" s="92"/>
      <c r="B26" s="100" t="s">
        <v>70</v>
      </c>
      <c r="C26" s="108" t="s">
        <v>42</v>
      </c>
      <c r="D26" s="109">
        <v>1150</v>
      </c>
      <c r="E26" s="111"/>
      <c r="F26" s="111"/>
      <c r="G26" s="111"/>
      <c r="H26" s="110" t="str">
        <f>H22</f>
        <v>0.0741</v>
      </c>
      <c r="I26" s="123"/>
      <c r="J26" s="123"/>
      <c r="K26" s="116"/>
      <c r="L26" s="116"/>
      <c r="M26" s="116"/>
      <c r="N26" s="119">
        <f t="shared" si="8"/>
        <v>0</v>
      </c>
      <c r="O26" s="119">
        <f t="shared" si="9"/>
        <v>0</v>
      </c>
      <c r="P26" s="119">
        <f t="shared" si="10"/>
        <v>0</v>
      </c>
      <c r="Q26" s="119">
        <f t="shared" si="11"/>
        <v>85.215</v>
      </c>
    </row>
    <row r="27" s="51" customFormat="1" ht="24" customHeight="1" spans="1:17">
      <c r="A27" s="92"/>
      <c r="B27" s="100" t="s">
        <v>47</v>
      </c>
      <c r="C27" s="108" t="s">
        <v>42</v>
      </c>
      <c r="D27" s="112">
        <v>7.95</v>
      </c>
      <c r="E27" s="110" t="str">
        <f>E23</f>
        <v>0.0307</v>
      </c>
      <c r="F27" s="110" t="str">
        <f t="shared" ref="F27:H27" si="12">F22</f>
        <v>0.0403</v>
      </c>
      <c r="G27" s="110" t="str">
        <f t="shared" si="12"/>
        <v>0.0496</v>
      </c>
      <c r="H27" s="110" t="str">
        <f t="shared" si="12"/>
        <v>0.0741</v>
      </c>
      <c r="I27" s="123"/>
      <c r="J27" s="123"/>
      <c r="K27" s="116"/>
      <c r="L27" s="116"/>
      <c r="M27" s="116"/>
      <c r="N27" s="119">
        <f t="shared" ref="N27:N30" si="13">D27*E27</f>
        <v>0.244065</v>
      </c>
      <c r="O27" s="119">
        <f t="shared" ref="O27:O30" si="14">D27*F27</f>
        <v>0.320385</v>
      </c>
      <c r="P27" s="119">
        <f t="shared" ref="P27:P30" si="15">D27*G27</f>
        <v>0.39432</v>
      </c>
      <c r="Q27" s="119">
        <f t="shared" ref="Q27:Q30" si="16">D27*H27</f>
        <v>0.589095</v>
      </c>
    </row>
    <row r="28" s="51" customFormat="1" ht="24" customHeight="1" spans="1:17">
      <c r="A28" s="92"/>
      <c r="B28" s="112" t="s">
        <v>48</v>
      </c>
      <c r="C28" s="108" t="s">
        <v>42</v>
      </c>
      <c r="D28" s="109">
        <v>172.55</v>
      </c>
      <c r="E28" s="110" t="str">
        <f t="shared" ref="E28:H28" si="17">E27</f>
        <v>0.0307</v>
      </c>
      <c r="F28" s="110" t="str">
        <f t="shared" si="17"/>
        <v>0.0403</v>
      </c>
      <c r="G28" s="110" t="str">
        <f t="shared" si="17"/>
        <v>0.0496</v>
      </c>
      <c r="H28" s="110" t="str">
        <f t="shared" si="17"/>
        <v>0.0741</v>
      </c>
      <c r="I28" s="123"/>
      <c r="J28" s="123"/>
      <c r="K28" s="116"/>
      <c r="L28" s="116"/>
      <c r="M28" s="116"/>
      <c r="N28" s="119">
        <f t="shared" si="13"/>
        <v>5.297285</v>
      </c>
      <c r="O28" s="119">
        <f t="shared" si="14"/>
        <v>6.953765</v>
      </c>
      <c r="P28" s="119">
        <f t="shared" si="15"/>
        <v>8.55848</v>
      </c>
      <c r="Q28" s="119">
        <f t="shared" si="16"/>
        <v>12.785955</v>
      </c>
    </row>
    <row r="29" s="51" customFormat="1" ht="24" customHeight="1" spans="1:17">
      <c r="A29" s="92"/>
      <c r="B29" s="112" t="s">
        <v>71</v>
      </c>
      <c r="C29" s="108" t="s">
        <v>42</v>
      </c>
      <c r="D29" s="109">
        <v>350</v>
      </c>
      <c r="E29" s="95" t="s">
        <v>50</v>
      </c>
      <c r="F29" s="95" t="s">
        <v>51</v>
      </c>
      <c r="G29" s="95" t="s">
        <v>52</v>
      </c>
      <c r="H29" s="95" t="s">
        <v>53</v>
      </c>
      <c r="I29" s="123"/>
      <c r="J29" s="123"/>
      <c r="K29" s="116"/>
      <c r="L29" s="116"/>
      <c r="M29" s="116"/>
      <c r="N29" s="119">
        <f t="shared" si="13"/>
        <v>7.56</v>
      </c>
      <c r="O29" s="119">
        <f t="shared" si="14"/>
        <v>16.765</v>
      </c>
      <c r="P29" s="119">
        <f t="shared" si="15"/>
        <v>25.865</v>
      </c>
      <c r="Q29" s="119">
        <f t="shared" si="16"/>
        <v>31.08</v>
      </c>
    </row>
    <row r="30" s="51" customFormat="1" ht="24" customHeight="1" spans="1:17">
      <c r="A30" s="92"/>
      <c r="B30" s="104" t="s">
        <v>54</v>
      </c>
      <c r="C30" s="92" t="s">
        <v>42</v>
      </c>
      <c r="D30" s="92">
        <v>483.31</v>
      </c>
      <c r="E30" s="95" t="s">
        <v>50</v>
      </c>
      <c r="F30" s="95" t="s">
        <v>51</v>
      </c>
      <c r="G30" s="95" t="s">
        <v>52</v>
      </c>
      <c r="H30" s="95" t="s">
        <v>53</v>
      </c>
      <c r="M30" s="124"/>
      <c r="N30" s="122">
        <f t="shared" si="13"/>
        <v>10.439496</v>
      </c>
      <c r="O30" s="119">
        <f t="shared" si="14"/>
        <v>23.150549</v>
      </c>
      <c r="P30" s="119">
        <f t="shared" si="15"/>
        <v>35.716609</v>
      </c>
      <c r="Q30" s="119">
        <f t="shared" si="16"/>
        <v>42.917928</v>
      </c>
    </row>
    <row r="32" spans="5:8">
      <c r="E32">
        <v>33</v>
      </c>
      <c r="F32">
        <v>25</v>
      </c>
      <c r="G32">
        <v>20</v>
      </c>
      <c r="H32">
        <v>13.5</v>
      </c>
    </row>
    <row r="34" spans="5:8">
      <c r="E34">
        <f>E32*300</f>
        <v>9900</v>
      </c>
      <c r="F34">
        <f t="shared" ref="F34:H34" si="18">F32*300</f>
        <v>7500</v>
      </c>
      <c r="G34">
        <f t="shared" si="18"/>
        <v>6000</v>
      </c>
      <c r="H34">
        <f t="shared" si="18"/>
        <v>4050</v>
      </c>
    </row>
    <row r="36" spans="5:8">
      <c r="E36">
        <f>E27*300*6</f>
        <v>55.26</v>
      </c>
      <c r="F36">
        <f t="shared" ref="F36:H36" si="19">F27*300*6</f>
        <v>72.54</v>
      </c>
      <c r="G36">
        <f t="shared" si="19"/>
        <v>89.28</v>
      </c>
      <c r="H36">
        <f t="shared" si="19"/>
        <v>133.38</v>
      </c>
    </row>
  </sheetData>
  <mergeCells count="14">
    <mergeCell ref="A1:H1"/>
    <mergeCell ref="A2:H2"/>
    <mergeCell ref="G3:H3"/>
    <mergeCell ref="A4:C4"/>
    <mergeCell ref="A5:C5"/>
    <mergeCell ref="A6:C6"/>
    <mergeCell ref="B7:C7"/>
    <mergeCell ref="B8:C8"/>
    <mergeCell ref="B9:C9"/>
    <mergeCell ref="A10:B10"/>
    <mergeCell ref="E10:H10"/>
    <mergeCell ref="A7:A9"/>
    <mergeCell ref="A11:A21"/>
    <mergeCell ref="A22:A30"/>
  </mergeCells>
  <printOptions horizontalCentered="1"/>
  <pageMargins left="0.429861111111111" right="0.429861111111111" top="0.747916666666667" bottom="0.747916666666667" header="0.313888888888889" footer="0.313888888888889"/>
  <pageSetup paperSize="9" orientation="portrait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1"/>
  <sheetViews>
    <sheetView topLeftCell="A16" workbookViewId="0">
      <selection activeCell="G30" sqref="G30"/>
    </sheetView>
  </sheetViews>
  <sheetFormatPr defaultColWidth="9" defaultRowHeight="14.4"/>
  <cols>
    <col min="1" max="1" width="6.12962962962963" customWidth="1"/>
    <col min="2" max="2" width="19.6296296296296" style="52" customWidth="1"/>
    <col min="3" max="3" width="5.62962962962963" customWidth="1"/>
    <col min="4" max="4" width="8.75" customWidth="1"/>
    <col min="5" max="9" width="9.25" customWidth="1"/>
    <col min="10" max="10" width="9.12962962962963" customWidth="1"/>
    <col min="11" max="12" width="17.6296296296296" hidden="1" customWidth="1"/>
    <col min="13" max="13" width="9" hidden="1" customWidth="1"/>
    <col min="14" max="14" width="18" hidden="1" customWidth="1"/>
    <col min="15" max="15" width="13.6296296296296" customWidth="1"/>
    <col min="16" max="16" width="10.25" customWidth="1"/>
    <col min="17" max="17" width="8.87962962962963" customWidth="1"/>
    <col min="18" max="18" width="8.75" customWidth="1"/>
    <col min="19" max="19" width="10.3796296296296"/>
    <col min="20" max="20" width="10.3796296296296" customWidth="1"/>
  </cols>
  <sheetData>
    <row r="1" s="51" customFormat="1" ht="24.95" customHeight="1" spans="1:12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="51" customFormat="1" ht="48" customHeight="1" spans="1:12">
      <c r="A2" s="54" t="s">
        <v>72</v>
      </c>
      <c r="B2" s="55"/>
      <c r="C2" s="55"/>
      <c r="D2" s="55"/>
      <c r="E2" s="55"/>
      <c r="F2" s="55"/>
      <c r="G2" s="55"/>
      <c r="H2" s="55"/>
      <c r="I2" s="55"/>
      <c r="J2" s="55"/>
      <c r="K2" s="78"/>
      <c r="L2" s="79"/>
    </row>
    <row r="3" s="51" customFormat="1" ht="19.5" customHeight="1" spans="1:12">
      <c r="A3" s="56" t="s">
        <v>3</v>
      </c>
      <c r="B3" s="57"/>
      <c r="C3" s="57"/>
      <c r="D3" s="57"/>
      <c r="E3" s="58" t="s">
        <v>73</v>
      </c>
      <c r="F3" s="58" t="s">
        <v>4</v>
      </c>
      <c r="G3" s="58" t="s">
        <v>5</v>
      </c>
      <c r="H3" s="58" t="s">
        <v>6</v>
      </c>
      <c r="I3" s="58" t="s">
        <v>7</v>
      </c>
      <c r="J3" s="58" t="s">
        <v>74</v>
      </c>
      <c r="K3" s="79"/>
      <c r="L3" s="79"/>
    </row>
    <row r="4" s="51" customFormat="1" ht="19.5" customHeight="1" spans="1:12">
      <c r="A4" s="59" t="s">
        <v>8</v>
      </c>
      <c r="B4" s="60"/>
      <c r="C4" s="60"/>
      <c r="D4" s="60"/>
      <c r="E4" s="58" t="s">
        <v>75</v>
      </c>
      <c r="F4" s="58" t="s">
        <v>9</v>
      </c>
      <c r="G4" s="58" t="s">
        <v>10</v>
      </c>
      <c r="H4" s="58" t="s">
        <v>11</v>
      </c>
      <c r="I4" s="58" t="s">
        <v>12</v>
      </c>
      <c r="J4" s="58" t="s">
        <v>76</v>
      </c>
      <c r="K4" s="79"/>
      <c r="L4" s="79"/>
    </row>
    <row r="5" s="51" customFormat="1" ht="19.5" customHeight="1" spans="1:12">
      <c r="A5" s="59" t="s">
        <v>13</v>
      </c>
      <c r="B5" s="60"/>
      <c r="C5" s="60"/>
      <c r="D5" s="60"/>
      <c r="E5" s="61">
        <f t="shared" ref="E5:J5" si="0">E6+E7+E8</f>
        <v>736.3397514</v>
      </c>
      <c r="F5" s="61">
        <f t="shared" si="0"/>
        <v>1539.1193166</v>
      </c>
      <c r="G5" s="61">
        <f t="shared" si="0"/>
        <v>2259.9298384</v>
      </c>
      <c r="H5" s="61">
        <f t="shared" si="0"/>
        <v>3143.2707258</v>
      </c>
      <c r="I5" s="61">
        <f t="shared" si="0"/>
        <v>4781.7214078</v>
      </c>
      <c r="J5" s="61">
        <f t="shared" si="0"/>
        <v>8158.3718312</v>
      </c>
      <c r="K5" s="79"/>
      <c r="L5" s="79"/>
    </row>
    <row r="6" s="51" customFormat="1" ht="19.5" customHeight="1" spans="1:13">
      <c r="A6" s="62" t="s">
        <v>14</v>
      </c>
      <c r="B6" s="60" t="s">
        <v>15</v>
      </c>
      <c r="C6" s="60"/>
      <c r="D6" s="60"/>
      <c r="E6" s="63">
        <f t="shared" ref="E6:J6" si="1">O12</f>
        <v>9.578</v>
      </c>
      <c r="F6" s="63">
        <f t="shared" si="1"/>
        <v>34.269</v>
      </c>
      <c r="G6" s="63">
        <f t="shared" si="1"/>
        <v>68.41</v>
      </c>
      <c r="H6" s="63">
        <f t="shared" si="1"/>
        <v>102.57</v>
      </c>
      <c r="I6" s="63">
        <f t="shared" si="1"/>
        <v>137.013</v>
      </c>
      <c r="J6" s="63">
        <f t="shared" si="1"/>
        <v>282.189</v>
      </c>
      <c r="K6" s="80"/>
      <c r="L6" s="80"/>
      <c r="M6" s="81">
        <f>(0.18+0.25)*1.14*81</f>
        <v>39.7062</v>
      </c>
    </row>
    <row r="7" s="51" customFormat="1" ht="19.5" customHeight="1" spans="1:13">
      <c r="A7" s="64"/>
      <c r="B7" s="60" t="s">
        <v>16</v>
      </c>
      <c r="C7" s="60"/>
      <c r="D7" s="60"/>
      <c r="E7" s="61">
        <f t="shared" ref="E7:J7" si="2">O13+O14+O15+O16+O17+O18+O19+O20+O21+O22+O23+O24+O25+O26+O27+O28</f>
        <v>640.6521304</v>
      </c>
      <c r="F7" s="61">
        <f t="shared" si="2"/>
        <v>1242.0093826</v>
      </c>
      <c r="G7" s="61">
        <f t="shared" si="2"/>
        <v>1834.3246704</v>
      </c>
      <c r="H7" s="61">
        <f t="shared" si="2"/>
        <v>2591.6451328</v>
      </c>
      <c r="I7" s="61">
        <f t="shared" si="2"/>
        <v>3979.2857488</v>
      </c>
      <c r="J7" s="61">
        <f t="shared" si="2"/>
        <v>6800.4333432</v>
      </c>
      <c r="M7" s="81"/>
    </row>
    <row r="8" s="51" customFormat="1" ht="19.5" customHeight="1" spans="1:13">
      <c r="A8" s="65"/>
      <c r="B8" s="60" t="s">
        <v>17</v>
      </c>
      <c r="C8" s="60"/>
      <c r="D8" s="60"/>
      <c r="E8" s="63">
        <f t="shared" ref="E8:J8" si="3">O29+O30+O31</f>
        <v>86.109621</v>
      </c>
      <c r="F8" s="63">
        <f t="shared" si="3"/>
        <v>262.840934</v>
      </c>
      <c r="G8" s="63">
        <f t="shared" si="3"/>
        <v>357.195168</v>
      </c>
      <c r="H8" s="63">
        <f t="shared" si="3"/>
        <v>449.055593</v>
      </c>
      <c r="I8" s="63">
        <f t="shared" si="3"/>
        <v>665.422659</v>
      </c>
      <c r="J8" s="63">
        <f t="shared" si="3"/>
        <v>1075.749488</v>
      </c>
      <c r="M8" s="81"/>
    </row>
    <row r="9" s="51" customFormat="1" ht="19.5" customHeight="1" spans="1:12">
      <c r="A9" s="59" t="s">
        <v>18</v>
      </c>
      <c r="B9" s="66"/>
      <c r="C9" s="67" t="s">
        <v>19</v>
      </c>
      <c r="D9" s="67" t="s">
        <v>20</v>
      </c>
      <c r="E9" s="68" t="s">
        <v>77</v>
      </c>
      <c r="F9" s="69"/>
      <c r="G9" s="69"/>
      <c r="H9" s="69"/>
      <c r="I9" s="69"/>
      <c r="J9" s="82"/>
      <c r="K9" s="79" t="s">
        <v>57</v>
      </c>
      <c r="L9" s="79" t="s">
        <v>57</v>
      </c>
    </row>
    <row r="10" s="51" customFormat="1" ht="19.5" customHeight="1" spans="1:12">
      <c r="A10" s="67" t="s">
        <v>78</v>
      </c>
      <c r="B10" s="70" t="s">
        <v>79</v>
      </c>
      <c r="C10" s="67" t="s">
        <v>80</v>
      </c>
      <c r="D10" s="67"/>
      <c r="E10" s="71" t="s">
        <v>81</v>
      </c>
      <c r="F10" s="71" t="s">
        <v>82</v>
      </c>
      <c r="G10" s="71" t="s">
        <v>83</v>
      </c>
      <c r="H10" s="71" t="s">
        <v>84</v>
      </c>
      <c r="I10" s="71" t="s">
        <v>85</v>
      </c>
      <c r="J10" s="71" t="s">
        <v>86</v>
      </c>
      <c r="K10" s="79"/>
      <c r="L10" s="79"/>
    </row>
    <row r="11" s="51" customFormat="1" ht="19.5" customHeight="1" spans="1:12">
      <c r="A11" s="67"/>
      <c r="B11" s="70" t="s">
        <v>87</v>
      </c>
      <c r="C11" s="67" t="s">
        <v>80</v>
      </c>
      <c r="D11" s="67"/>
      <c r="E11" s="71" t="s">
        <v>88</v>
      </c>
      <c r="F11" s="71" t="s">
        <v>89</v>
      </c>
      <c r="G11" s="71" t="s">
        <v>90</v>
      </c>
      <c r="H11" s="71" t="s">
        <v>91</v>
      </c>
      <c r="I11" s="71" t="s">
        <v>92</v>
      </c>
      <c r="J11" s="71" t="s">
        <v>93</v>
      </c>
      <c r="K11" s="79"/>
      <c r="L11" s="79"/>
    </row>
    <row r="12" s="51" customFormat="1" ht="19.5" customHeight="1" spans="1:20">
      <c r="A12" s="67"/>
      <c r="B12" s="70" t="s">
        <v>94</v>
      </c>
      <c r="C12" s="67" t="s">
        <v>80</v>
      </c>
      <c r="D12" s="67"/>
      <c r="E12" s="71" t="s">
        <v>95</v>
      </c>
      <c r="F12" s="71" t="s">
        <v>96</v>
      </c>
      <c r="G12" s="71" t="s">
        <v>97</v>
      </c>
      <c r="H12" s="71" t="s">
        <v>98</v>
      </c>
      <c r="I12" s="71" t="s">
        <v>99</v>
      </c>
      <c r="J12" s="71" t="s">
        <v>100</v>
      </c>
      <c r="K12" s="79"/>
      <c r="L12" s="79"/>
      <c r="O12" s="83">
        <f t="shared" ref="O12:T12" si="4">E10+E11+E12</f>
        <v>9.578</v>
      </c>
      <c r="P12" s="83">
        <f t="shared" si="4"/>
        <v>34.269</v>
      </c>
      <c r="Q12" s="83">
        <f t="shared" si="4"/>
        <v>68.41</v>
      </c>
      <c r="R12" s="83">
        <f t="shared" si="4"/>
        <v>102.57</v>
      </c>
      <c r="S12" s="83">
        <f t="shared" si="4"/>
        <v>137.013</v>
      </c>
      <c r="T12" s="83">
        <f t="shared" si="4"/>
        <v>282.189</v>
      </c>
    </row>
    <row r="13" s="51" customFormat="1" ht="21.75" customHeight="1" spans="1:20">
      <c r="A13" s="72" t="s">
        <v>22</v>
      </c>
      <c r="B13" s="70" t="s">
        <v>101</v>
      </c>
      <c r="C13" s="67" t="s">
        <v>24</v>
      </c>
      <c r="D13" s="73">
        <v>35000</v>
      </c>
      <c r="E13" s="71" t="s">
        <v>102</v>
      </c>
      <c r="F13" s="71" t="s">
        <v>103</v>
      </c>
      <c r="G13" s="71" t="s">
        <v>104</v>
      </c>
      <c r="H13" s="71" t="s">
        <v>105</v>
      </c>
      <c r="I13" s="71" t="s">
        <v>106</v>
      </c>
      <c r="J13" s="71" t="s">
        <v>107</v>
      </c>
      <c r="K13" s="79"/>
      <c r="L13" s="79"/>
      <c r="O13" s="83">
        <f>D13*0.0007</f>
        <v>24.5</v>
      </c>
      <c r="P13" s="83">
        <f>D13*0.0024</f>
        <v>84</v>
      </c>
      <c r="Q13" s="83">
        <f>D13*0.0036</f>
        <v>126</v>
      </c>
      <c r="R13" s="83">
        <f>D13*0.0048</f>
        <v>168</v>
      </c>
      <c r="S13" s="83">
        <f>D13*0.0072</f>
        <v>252</v>
      </c>
      <c r="T13" s="83">
        <f>D13*0.0119</f>
        <v>416.5</v>
      </c>
    </row>
    <row r="14" s="51" customFormat="1" ht="21.75" customHeight="1" spans="1:20">
      <c r="A14" s="72"/>
      <c r="B14" s="66" t="s">
        <v>108</v>
      </c>
      <c r="C14" s="67" t="s">
        <v>24</v>
      </c>
      <c r="D14" s="73">
        <v>70000</v>
      </c>
      <c r="E14" s="71" t="s">
        <v>109</v>
      </c>
      <c r="F14" s="71"/>
      <c r="G14" s="71"/>
      <c r="H14" s="71"/>
      <c r="I14" s="71"/>
      <c r="J14" s="71"/>
      <c r="K14" s="79"/>
      <c r="L14" s="79"/>
      <c r="O14" s="83">
        <f>D14*0.0055</f>
        <v>385</v>
      </c>
      <c r="P14" s="83"/>
      <c r="Q14" s="83"/>
      <c r="R14" s="83"/>
      <c r="S14" s="83"/>
      <c r="T14" s="83"/>
    </row>
    <row r="15" s="51" customFormat="1" ht="21.75" customHeight="1" spans="1:20">
      <c r="A15" s="72"/>
      <c r="B15" s="66" t="s">
        <v>23</v>
      </c>
      <c r="C15" s="67" t="s">
        <v>24</v>
      </c>
      <c r="D15" s="73">
        <v>75000</v>
      </c>
      <c r="E15" s="71"/>
      <c r="F15" s="71" t="s">
        <v>110</v>
      </c>
      <c r="G15" s="71"/>
      <c r="H15" s="71"/>
      <c r="I15" s="71"/>
      <c r="J15" s="71"/>
      <c r="K15" s="79"/>
      <c r="L15" s="79"/>
      <c r="O15" s="83"/>
      <c r="P15" s="83">
        <f>D15*0.0076</f>
        <v>570</v>
      </c>
      <c r="Q15" s="83"/>
      <c r="R15" s="83"/>
      <c r="S15" s="83"/>
      <c r="T15" s="83"/>
    </row>
    <row r="16" s="51" customFormat="1" ht="21.75" customHeight="1" spans="1:20">
      <c r="A16" s="72"/>
      <c r="B16" s="66" t="s">
        <v>26</v>
      </c>
      <c r="C16" s="67" t="s">
        <v>24</v>
      </c>
      <c r="D16" s="73">
        <v>80000</v>
      </c>
      <c r="E16" s="71"/>
      <c r="F16" s="71"/>
      <c r="G16" s="71" t="s">
        <v>111</v>
      </c>
      <c r="H16" s="71"/>
      <c r="I16" s="71"/>
      <c r="J16" s="71"/>
      <c r="K16" s="79"/>
      <c r="L16" s="79"/>
      <c r="O16" s="83"/>
      <c r="P16" s="83"/>
      <c r="Q16" s="83">
        <f>D16*0.0096</f>
        <v>768</v>
      </c>
      <c r="R16" s="83"/>
      <c r="S16" s="83"/>
      <c r="T16" s="83"/>
    </row>
    <row r="17" s="51" customFormat="1" ht="21.75" customHeight="1" spans="1:20">
      <c r="A17" s="72"/>
      <c r="B17" s="66" t="s">
        <v>27</v>
      </c>
      <c r="C17" s="67" t="s">
        <v>24</v>
      </c>
      <c r="D17" s="73">
        <v>85000</v>
      </c>
      <c r="E17" s="71"/>
      <c r="F17" s="71"/>
      <c r="G17" s="71"/>
      <c r="H17" s="71" t="s">
        <v>112</v>
      </c>
      <c r="I17" s="71"/>
      <c r="J17" s="71"/>
      <c r="K17" s="79"/>
      <c r="L17" s="79"/>
      <c r="O17" s="83"/>
      <c r="P17" s="83"/>
      <c r="Q17" s="83"/>
      <c r="R17" s="83">
        <f>D17*0.0112</f>
        <v>952</v>
      </c>
      <c r="S17" s="83"/>
      <c r="T17" s="83"/>
    </row>
    <row r="18" s="51" customFormat="1" ht="21.75" customHeight="1" spans="1:20">
      <c r="A18" s="72"/>
      <c r="B18" s="66" t="s">
        <v>28</v>
      </c>
      <c r="C18" s="67" t="s">
        <v>24</v>
      </c>
      <c r="D18" s="73">
        <v>100000</v>
      </c>
      <c r="E18" s="71"/>
      <c r="F18" s="71"/>
      <c r="G18" s="71"/>
      <c r="H18" s="71"/>
      <c r="I18" s="71" t="s">
        <v>113</v>
      </c>
      <c r="J18" s="71"/>
      <c r="K18" s="79"/>
      <c r="L18" s="79"/>
      <c r="O18" s="83"/>
      <c r="P18" s="84"/>
      <c r="Q18" s="83"/>
      <c r="R18" s="83"/>
      <c r="S18" s="83">
        <f>D18*0.0142</f>
        <v>1420</v>
      </c>
      <c r="T18" s="83"/>
    </row>
    <row r="19" s="51" customFormat="1" ht="21.75" customHeight="1" spans="1:20">
      <c r="A19" s="72"/>
      <c r="B19" s="66" t="s">
        <v>114</v>
      </c>
      <c r="C19" s="67" t="s">
        <v>24</v>
      </c>
      <c r="D19" s="73">
        <v>130000</v>
      </c>
      <c r="E19" s="71"/>
      <c r="F19" s="71"/>
      <c r="G19" s="71"/>
      <c r="H19" s="71"/>
      <c r="I19" s="71"/>
      <c r="J19" s="71" t="s">
        <v>115</v>
      </c>
      <c r="K19" s="79"/>
      <c r="L19" s="79"/>
      <c r="O19" s="83"/>
      <c r="P19" s="83"/>
      <c r="Q19" s="83"/>
      <c r="R19" s="83"/>
      <c r="S19" s="83"/>
      <c r="T19" s="83">
        <f>D19*0.0204</f>
        <v>2652</v>
      </c>
    </row>
    <row r="20" s="51" customFormat="1" ht="21.75" customHeight="1" spans="1:20">
      <c r="A20" s="72"/>
      <c r="B20" s="66" t="s">
        <v>116</v>
      </c>
      <c r="C20" s="67" t="s">
        <v>117</v>
      </c>
      <c r="D20" s="67">
        <v>3500</v>
      </c>
      <c r="E20" s="71" t="s">
        <v>118</v>
      </c>
      <c r="F20" s="71" t="s">
        <v>119</v>
      </c>
      <c r="G20" s="71" t="s">
        <v>120</v>
      </c>
      <c r="H20" s="71" t="s">
        <v>121</v>
      </c>
      <c r="I20" s="71" t="s">
        <v>122</v>
      </c>
      <c r="J20" s="71" t="s">
        <v>123</v>
      </c>
      <c r="K20" s="79"/>
      <c r="L20" s="79"/>
      <c r="O20" s="83">
        <f>D20*0.0019</f>
        <v>6.65</v>
      </c>
      <c r="P20" s="83">
        <f>D20*0.0066</f>
        <v>23.1</v>
      </c>
      <c r="Q20" s="83">
        <f>D20*0.0101</f>
        <v>35.35</v>
      </c>
      <c r="R20" s="83">
        <f>D20*0.0136</f>
        <v>47.6</v>
      </c>
      <c r="S20" s="83">
        <f>D20*0.0202</f>
        <v>70.7</v>
      </c>
      <c r="T20" s="83">
        <f>D20*0.0334</f>
        <v>116.9</v>
      </c>
    </row>
    <row r="21" s="51" customFormat="1" ht="21.75" customHeight="1" spans="1:20">
      <c r="A21" s="72"/>
      <c r="B21" s="74" t="s">
        <v>124</v>
      </c>
      <c r="C21" s="67" t="s">
        <v>125</v>
      </c>
      <c r="D21" s="67">
        <v>17.1</v>
      </c>
      <c r="E21" s="71" t="s">
        <v>126</v>
      </c>
      <c r="F21" s="71" t="s">
        <v>127</v>
      </c>
      <c r="G21" s="71" t="s">
        <v>128</v>
      </c>
      <c r="H21" s="71" t="s">
        <v>129</v>
      </c>
      <c r="I21" s="71" t="s">
        <v>130</v>
      </c>
      <c r="J21" s="71" t="s">
        <v>131</v>
      </c>
      <c r="K21" s="85" t="e">
        <f>#REF!*#REF!</f>
        <v>#REF!</v>
      </c>
      <c r="L21" s="85" t="e">
        <f>#REF!*#REF!</f>
        <v>#REF!</v>
      </c>
      <c r="O21" s="84">
        <f>D21*E21</f>
        <v>1.40904</v>
      </c>
      <c r="P21" s="83">
        <f>D21*F21</f>
        <v>4.19976</v>
      </c>
      <c r="Q21" s="83">
        <f>D21*G21</f>
        <v>5.51304</v>
      </c>
      <c r="R21" s="83">
        <f>D21*H21</f>
        <v>6.78528</v>
      </c>
      <c r="S21" s="83">
        <f>D21*I21</f>
        <v>10.13688</v>
      </c>
      <c r="T21" s="83">
        <f>D21*J21</f>
        <v>16.40232</v>
      </c>
    </row>
    <row r="22" s="51" customFormat="1" ht="21.75" customHeight="1" spans="1:20">
      <c r="A22" s="72"/>
      <c r="B22" s="74" t="s">
        <v>132</v>
      </c>
      <c r="C22" s="67" t="s">
        <v>30</v>
      </c>
      <c r="D22" s="67">
        <v>173.4</v>
      </c>
      <c r="E22" s="71" t="s">
        <v>31</v>
      </c>
      <c r="F22" s="71"/>
      <c r="G22" s="71"/>
      <c r="H22" s="71"/>
      <c r="I22" s="71"/>
      <c r="J22" s="71"/>
      <c r="K22" s="85"/>
      <c r="L22" s="85"/>
      <c r="O22" s="84">
        <f>D22*1.25</f>
        <v>216.75</v>
      </c>
      <c r="P22" s="83"/>
      <c r="Q22" s="83"/>
      <c r="R22" s="83"/>
      <c r="S22" s="83"/>
      <c r="T22" s="83"/>
    </row>
    <row r="23" s="51" customFormat="1" ht="21.75" customHeight="1" spans="1:20">
      <c r="A23" s="72"/>
      <c r="B23" s="74" t="s">
        <v>133</v>
      </c>
      <c r="C23" s="67" t="s">
        <v>30</v>
      </c>
      <c r="D23" s="67">
        <v>438.73</v>
      </c>
      <c r="E23" s="71"/>
      <c r="F23" s="71" t="s">
        <v>31</v>
      </c>
      <c r="G23" s="71"/>
      <c r="H23" s="71"/>
      <c r="I23" s="71"/>
      <c r="J23" s="71"/>
      <c r="K23" s="85"/>
      <c r="L23" s="85"/>
      <c r="O23" s="84"/>
      <c r="P23" s="83">
        <f>D23*1.25</f>
        <v>548.4125</v>
      </c>
      <c r="Q23" s="83"/>
      <c r="R23" s="83"/>
      <c r="S23" s="83"/>
      <c r="T23" s="83"/>
    </row>
    <row r="24" s="51" customFormat="1" ht="21.75" customHeight="1" spans="1:20">
      <c r="A24" s="72"/>
      <c r="B24" s="74" t="s">
        <v>134</v>
      </c>
      <c r="C24" s="67" t="s">
        <v>30</v>
      </c>
      <c r="D24" s="67">
        <v>705.04</v>
      </c>
      <c r="E24" s="71"/>
      <c r="F24" s="71"/>
      <c r="G24" s="71" t="s">
        <v>31</v>
      </c>
      <c r="H24" s="71"/>
      <c r="I24" s="71"/>
      <c r="J24" s="71"/>
      <c r="K24" s="85"/>
      <c r="L24" s="85"/>
      <c r="O24" s="84"/>
      <c r="P24" s="83"/>
      <c r="Q24" s="83">
        <f>D24*1.25</f>
        <v>881.3</v>
      </c>
      <c r="R24" s="83"/>
      <c r="S24" s="83"/>
      <c r="T24" s="83"/>
    </row>
    <row r="25" s="51" customFormat="1" ht="21.75" customHeight="1" spans="1:20">
      <c r="A25" s="72"/>
      <c r="B25" s="74" t="s">
        <v>135</v>
      </c>
      <c r="C25" s="67" t="s">
        <v>30</v>
      </c>
      <c r="D25" s="67">
        <v>1113.28</v>
      </c>
      <c r="E25" s="71"/>
      <c r="F25" s="71"/>
      <c r="G25" s="71"/>
      <c r="H25" s="71" t="s">
        <v>31</v>
      </c>
      <c r="I25" s="71"/>
      <c r="J25" s="71"/>
      <c r="K25" s="85"/>
      <c r="L25" s="85"/>
      <c r="O25" s="84"/>
      <c r="P25" s="83"/>
      <c r="Q25" s="83"/>
      <c r="R25" s="83">
        <f>D25*1.25</f>
        <v>1391.6</v>
      </c>
      <c r="S25" s="83"/>
      <c r="T25" s="83"/>
    </row>
    <row r="26" s="51" customFormat="1" ht="21.75" customHeight="1" spans="1:20">
      <c r="A26" s="72"/>
      <c r="B26" s="74" t="s">
        <v>136</v>
      </c>
      <c r="C26" s="67" t="s">
        <v>30</v>
      </c>
      <c r="D26" s="67">
        <v>1749.64</v>
      </c>
      <c r="E26" s="71"/>
      <c r="F26" s="71"/>
      <c r="G26" s="71"/>
      <c r="H26" s="71"/>
      <c r="I26" s="71" t="s">
        <v>31</v>
      </c>
      <c r="J26" s="71"/>
      <c r="K26" s="85"/>
      <c r="L26" s="85"/>
      <c r="O26" s="84"/>
      <c r="P26" s="83"/>
      <c r="Q26" s="83"/>
      <c r="R26" s="83"/>
      <c r="S26" s="83">
        <f>D26*1.25</f>
        <v>2187.05</v>
      </c>
      <c r="T26" s="83"/>
    </row>
    <row r="27" s="51" customFormat="1" ht="21.75" customHeight="1" spans="1:20">
      <c r="A27" s="72"/>
      <c r="B27" s="74" t="s">
        <v>137</v>
      </c>
      <c r="C27" s="67" t="s">
        <v>30</v>
      </c>
      <c r="D27" s="67">
        <v>2825.04</v>
      </c>
      <c r="E27" s="71"/>
      <c r="F27" s="71"/>
      <c r="G27" s="71"/>
      <c r="H27" s="71"/>
      <c r="I27" s="71"/>
      <c r="J27" s="71" t="s">
        <v>138</v>
      </c>
      <c r="K27" s="85"/>
      <c r="L27" s="85"/>
      <c r="O27" s="83"/>
      <c r="P27" s="83"/>
      <c r="Q27" s="83"/>
      <c r="R27" s="83"/>
      <c r="S27" s="83"/>
      <c r="T27" s="83">
        <f>D27*1.25</f>
        <v>3531.3</v>
      </c>
    </row>
    <row r="28" s="51" customFormat="1" ht="21.75" customHeight="1" spans="1:20">
      <c r="A28" s="72"/>
      <c r="B28" s="74" t="s">
        <v>37</v>
      </c>
      <c r="C28" s="67" t="s">
        <v>38</v>
      </c>
      <c r="D28" s="73">
        <v>1</v>
      </c>
      <c r="E28" s="71" t="s">
        <v>139</v>
      </c>
      <c r="F28" s="71" t="s">
        <v>139</v>
      </c>
      <c r="G28" s="71" t="s">
        <v>139</v>
      </c>
      <c r="H28" s="71" t="s">
        <v>139</v>
      </c>
      <c r="I28" s="71" t="s">
        <v>139</v>
      </c>
      <c r="J28" s="71" t="s">
        <v>139</v>
      </c>
      <c r="K28" s="85"/>
      <c r="L28" s="85"/>
      <c r="O28" s="83">
        <f t="shared" ref="O28:T28" si="5">SUM(O13:O27)*0.01</f>
        <v>6.3430904</v>
      </c>
      <c r="P28" s="83">
        <f t="shared" si="5"/>
        <v>12.2971226</v>
      </c>
      <c r="Q28" s="83">
        <f t="shared" si="5"/>
        <v>18.1616304</v>
      </c>
      <c r="R28" s="83">
        <f t="shared" si="5"/>
        <v>25.6598528</v>
      </c>
      <c r="S28" s="83">
        <f t="shared" si="5"/>
        <v>39.3988688</v>
      </c>
      <c r="T28" s="83">
        <f t="shared" si="5"/>
        <v>67.3310232</v>
      </c>
    </row>
    <row r="29" s="51" customFormat="1" ht="45.95" customHeight="1" spans="1:20">
      <c r="A29" s="67" t="s">
        <v>40</v>
      </c>
      <c r="B29" s="75" t="s">
        <v>62</v>
      </c>
      <c r="C29" s="67" t="s">
        <v>42</v>
      </c>
      <c r="D29" s="73">
        <v>7409.9</v>
      </c>
      <c r="E29" s="71" t="s">
        <v>140</v>
      </c>
      <c r="F29" s="76" t="s">
        <v>63</v>
      </c>
      <c r="G29" s="71" t="s">
        <v>64</v>
      </c>
      <c r="H29" s="71" t="s">
        <v>65</v>
      </c>
      <c r="I29" s="71" t="s">
        <v>66</v>
      </c>
      <c r="J29" s="71" t="s">
        <v>141</v>
      </c>
      <c r="K29" s="85"/>
      <c r="L29" s="85"/>
      <c r="O29" s="83">
        <f t="shared" ref="O29:O31" si="6">D29*E29</f>
        <v>76.32197</v>
      </c>
      <c r="P29" s="83">
        <f t="shared" ref="P29:P31" si="7">D29*F29</f>
        <v>227.48393</v>
      </c>
      <c r="Q29" s="83">
        <f t="shared" ref="Q29:Q31" si="8">D29*G29</f>
        <v>298.61897</v>
      </c>
      <c r="R29" s="83">
        <f t="shared" ref="R29:R31" si="9">D29*H29</f>
        <v>367.53104</v>
      </c>
      <c r="S29" s="83">
        <f t="shared" ref="S29:S31" si="10">D29*I29</f>
        <v>549.07359</v>
      </c>
      <c r="T29" s="83">
        <f t="shared" ref="T29:T31" si="11">D29*J29</f>
        <v>888.44701</v>
      </c>
    </row>
    <row r="30" s="51" customFormat="1" ht="28.5" customHeight="1" spans="1:20">
      <c r="A30" s="67"/>
      <c r="B30" s="77" t="s">
        <v>142</v>
      </c>
      <c r="C30" s="67" t="s">
        <v>42</v>
      </c>
      <c r="D30" s="67">
        <v>629.23</v>
      </c>
      <c r="E30" s="71" t="s">
        <v>143</v>
      </c>
      <c r="F30" s="71" t="s">
        <v>144</v>
      </c>
      <c r="G30" s="71" t="s">
        <v>145</v>
      </c>
      <c r="H30" s="71" t="s">
        <v>146</v>
      </c>
      <c r="I30" s="71" t="s">
        <v>147</v>
      </c>
      <c r="J30" s="71" t="s">
        <v>148</v>
      </c>
      <c r="K30" s="85"/>
      <c r="L30" s="85"/>
      <c r="O30" s="83">
        <f t="shared" si="6"/>
        <v>6.984453</v>
      </c>
      <c r="P30" s="83">
        <f t="shared" si="7"/>
        <v>24.917508</v>
      </c>
      <c r="Q30" s="83">
        <f t="shared" si="8"/>
        <v>35.425649</v>
      </c>
      <c r="R30" s="83">
        <f t="shared" si="9"/>
        <v>45.807944</v>
      </c>
      <c r="S30" s="83">
        <f t="shared" si="10"/>
        <v>73.431141</v>
      </c>
      <c r="T30" s="83">
        <f t="shared" si="11"/>
        <v>105.333102</v>
      </c>
    </row>
    <row r="31" s="51" customFormat="1" ht="24.95" customHeight="1" spans="1:20">
      <c r="A31" s="67"/>
      <c r="B31" s="75" t="s">
        <v>54</v>
      </c>
      <c r="C31" s="67" t="s">
        <v>42</v>
      </c>
      <c r="D31" s="67">
        <v>483.31</v>
      </c>
      <c r="E31" s="71" t="s">
        <v>149</v>
      </c>
      <c r="F31" s="71" t="s">
        <v>50</v>
      </c>
      <c r="G31" s="71" t="s">
        <v>51</v>
      </c>
      <c r="H31" s="71" t="s">
        <v>52</v>
      </c>
      <c r="I31" s="71" t="s">
        <v>53</v>
      </c>
      <c r="J31" s="71" t="s">
        <v>150</v>
      </c>
      <c r="K31" s="86">
        <f t="shared" ref="K31:N31" si="12">4/16.8</f>
        <v>0.238095238095238</v>
      </c>
      <c r="L31" s="86">
        <f t="shared" si="12"/>
        <v>0.238095238095238</v>
      </c>
      <c r="M31" s="86">
        <f t="shared" si="12"/>
        <v>0.238095238095238</v>
      </c>
      <c r="N31" s="86">
        <f t="shared" si="12"/>
        <v>0.238095238095238</v>
      </c>
      <c r="O31" s="83">
        <f t="shared" si="6"/>
        <v>2.803198</v>
      </c>
      <c r="P31" s="84">
        <f t="shared" si="7"/>
        <v>10.439496</v>
      </c>
      <c r="Q31" s="83">
        <f t="shared" si="8"/>
        <v>23.150549</v>
      </c>
      <c r="R31" s="83">
        <f t="shared" si="9"/>
        <v>35.716609</v>
      </c>
      <c r="S31" s="83">
        <f t="shared" si="10"/>
        <v>42.917928</v>
      </c>
      <c r="T31" s="83">
        <f t="shared" si="11"/>
        <v>81.969376</v>
      </c>
    </row>
  </sheetData>
  <mergeCells count="14">
    <mergeCell ref="A1:K1"/>
    <mergeCell ref="A2:J2"/>
    <mergeCell ref="A3:C3"/>
    <mergeCell ref="A4:C4"/>
    <mergeCell ref="A5:C5"/>
    <mergeCell ref="B6:C6"/>
    <mergeCell ref="B7:C7"/>
    <mergeCell ref="B8:C8"/>
    <mergeCell ref="A9:B9"/>
    <mergeCell ref="E9:J9"/>
    <mergeCell ref="A6:A8"/>
    <mergeCell ref="A10:A12"/>
    <mergeCell ref="A13:A28"/>
    <mergeCell ref="A29:A31"/>
  </mergeCells>
  <printOptions horizontalCentered="1"/>
  <pageMargins left="0.429861111111111" right="0.429861111111111" top="0.747916666666667" bottom="0.747916666666667" header="0.313888888888889" footer="0.313888888888889"/>
  <pageSetup paperSize="9" orientation="portrait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topLeftCell="A22" workbookViewId="0">
      <selection activeCell="F33" sqref="F33"/>
    </sheetView>
  </sheetViews>
  <sheetFormatPr defaultColWidth="9" defaultRowHeight="14.4"/>
  <cols>
    <col min="4" max="4" width="22.1296296296296" customWidth="1"/>
    <col min="6" max="6" width="10.6296296296296" customWidth="1"/>
  </cols>
  <sheetData>
    <row r="1" ht="29.25" customHeight="1" spans="1:10">
      <c r="A1" s="1" t="s">
        <v>151</v>
      </c>
      <c r="B1" s="1"/>
      <c r="C1" s="1"/>
      <c r="D1" s="1"/>
      <c r="E1" s="1"/>
      <c r="F1" s="1"/>
      <c r="G1" s="1"/>
      <c r="H1" s="1"/>
      <c r="I1" s="1"/>
      <c r="J1" s="1"/>
    </row>
    <row r="2" ht="29.25" customHeight="1" spans="1:10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</row>
    <row r="3" ht="29.25" customHeight="1" spans="1:10">
      <c r="A3" s="3" t="s">
        <v>153</v>
      </c>
      <c r="B3" s="4"/>
      <c r="C3" s="4"/>
      <c r="D3" s="4"/>
      <c r="E3" s="4"/>
      <c r="F3" s="4"/>
      <c r="G3" s="4" t="s">
        <v>154</v>
      </c>
      <c r="H3" s="4"/>
      <c r="I3" s="4"/>
      <c r="J3" s="38"/>
    </row>
    <row r="4" ht="29.25" customHeight="1" spans="1:10">
      <c r="A4" s="5"/>
      <c r="B4" s="6"/>
      <c r="C4" s="6"/>
      <c r="D4" s="6"/>
      <c r="E4" s="6"/>
      <c r="F4" s="6"/>
      <c r="G4" s="6" t="s">
        <v>9</v>
      </c>
      <c r="H4" s="6" t="s">
        <v>10</v>
      </c>
      <c r="I4" s="6" t="s">
        <v>11</v>
      </c>
      <c r="J4" s="39" t="s">
        <v>12</v>
      </c>
    </row>
    <row r="5" ht="29.25" customHeight="1" spans="1:10">
      <c r="A5" s="5" t="s">
        <v>155</v>
      </c>
      <c r="B5" s="6"/>
      <c r="C5" s="6"/>
      <c r="D5" s="6"/>
      <c r="E5" s="6"/>
      <c r="F5" s="6"/>
      <c r="G5" s="7">
        <v>3478.4794674</v>
      </c>
      <c r="H5" s="7">
        <v>3841.6258422</v>
      </c>
      <c r="I5" s="7">
        <v>4755.1188027</v>
      </c>
      <c r="J5" s="40">
        <v>6105.2008425</v>
      </c>
    </row>
    <row r="6" ht="29.25" customHeight="1" spans="1:10">
      <c r="A6" s="5" t="s">
        <v>14</v>
      </c>
      <c r="B6" s="6"/>
      <c r="C6" s="6"/>
      <c r="D6" s="6" t="s">
        <v>156</v>
      </c>
      <c r="E6" s="6"/>
      <c r="F6" s="6"/>
      <c r="G6" s="8">
        <v>1085.7</v>
      </c>
      <c r="H6" s="8">
        <v>1059.3</v>
      </c>
      <c r="I6" s="8">
        <v>1135.2</v>
      </c>
      <c r="J6" s="41">
        <v>1158.3</v>
      </c>
    </row>
    <row r="7" ht="29.25" customHeight="1" spans="1:10">
      <c r="A7" s="5"/>
      <c r="B7" s="6"/>
      <c r="C7" s="6"/>
      <c r="D7" s="6" t="s">
        <v>157</v>
      </c>
      <c r="E7" s="6"/>
      <c r="F7" s="6"/>
      <c r="G7" s="9">
        <v>1583.2947</v>
      </c>
      <c r="H7" s="9">
        <v>1941.28395</v>
      </c>
      <c r="I7" s="9">
        <v>2757.9208</v>
      </c>
      <c r="J7" s="42">
        <v>4064.2656</v>
      </c>
    </row>
    <row r="8" ht="29.25" customHeight="1" spans="1:10">
      <c r="A8" s="5"/>
      <c r="B8" s="6"/>
      <c r="C8" s="6"/>
      <c r="D8" s="6" t="s">
        <v>158</v>
      </c>
      <c r="E8" s="6"/>
      <c r="F8" s="6"/>
      <c r="G8" s="8">
        <v>809.4847674</v>
      </c>
      <c r="H8" s="8">
        <v>841.0418922</v>
      </c>
      <c r="I8" s="8">
        <v>861.9980027</v>
      </c>
      <c r="J8" s="41">
        <v>882.6352425</v>
      </c>
    </row>
    <row r="9" ht="29.25" customHeight="1" spans="1:10">
      <c r="A9" s="5" t="s">
        <v>159</v>
      </c>
      <c r="B9" s="6"/>
      <c r="C9" s="6"/>
      <c r="D9" s="6"/>
      <c r="E9" s="6" t="s">
        <v>19</v>
      </c>
      <c r="F9" s="6" t="s">
        <v>160</v>
      </c>
      <c r="G9" s="10" t="s">
        <v>77</v>
      </c>
      <c r="H9" s="10"/>
      <c r="I9" s="10"/>
      <c r="J9" s="43"/>
    </row>
    <row r="10" ht="29.25" customHeight="1" spans="1:10">
      <c r="A10" s="11" t="s">
        <v>161</v>
      </c>
      <c r="B10" s="12" t="s">
        <v>162</v>
      </c>
      <c r="C10" s="12"/>
      <c r="D10" s="13" t="s">
        <v>163</v>
      </c>
      <c r="E10" s="14" t="s">
        <v>164</v>
      </c>
      <c r="F10" s="14">
        <v>165</v>
      </c>
      <c r="G10" s="15">
        <v>6.58</v>
      </c>
      <c r="H10" s="15">
        <v>6.42</v>
      </c>
      <c r="I10" s="15">
        <v>6.88</v>
      </c>
      <c r="J10" s="44">
        <v>7.02</v>
      </c>
    </row>
    <row r="11" ht="29.25" customHeight="1" spans="1:10">
      <c r="A11" s="11"/>
      <c r="B11" s="12"/>
      <c r="C11" s="12"/>
      <c r="D11" s="13"/>
      <c r="E11" s="14"/>
      <c r="F11" s="14"/>
      <c r="G11" s="15"/>
      <c r="H11" s="15"/>
      <c r="I11" s="15"/>
      <c r="J11" s="44"/>
    </row>
    <row r="12" ht="29.25" customHeight="1" spans="1:10">
      <c r="A12" s="11"/>
      <c r="B12" s="16" t="s">
        <v>22</v>
      </c>
      <c r="C12" s="16" t="s">
        <v>165</v>
      </c>
      <c r="D12" s="17" t="s">
        <v>166</v>
      </c>
      <c r="E12" s="18" t="s">
        <v>30</v>
      </c>
      <c r="F12" s="19">
        <v>743</v>
      </c>
      <c r="G12" s="9">
        <v>1.25</v>
      </c>
      <c r="H12" s="9"/>
      <c r="I12" s="9"/>
      <c r="J12" s="42"/>
    </row>
    <row r="13" ht="29.25" customHeight="1" spans="1:10">
      <c r="A13" s="11"/>
      <c r="B13" s="16"/>
      <c r="C13" s="16"/>
      <c r="D13" s="17" t="s">
        <v>167</v>
      </c>
      <c r="E13" s="18" t="s">
        <v>30</v>
      </c>
      <c r="F13" s="19">
        <v>989.7</v>
      </c>
      <c r="G13" s="9"/>
      <c r="H13" s="9">
        <v>1.25</v>
      </c>
      <c r="I13" s="9"/>
      <c r="J13" s="42"/>
    </row>
    <row r="14" ht="29.25" customHeight="1" spans="1:10">
      <c r="A14" s="11"/>
      <c r="B14" s="16"/>
      <c r="C14" s="16"/>
      <c r="D14" s="17" t="s">
        <v>168</v>
      </c>
      <c r="E14" s="18" t="s">
        <v>30</v>
      </c>
      <c r="F14" s="19">
        <v>1552.6</v>
      </c>
      <c r="G14" s="9"/>
      <c r="H14" s="9"/>
      <c r="I14" s="9">
        <v>1.25</v>
      </c>
      <c r="J14" s="42"/>
    </row>
    <row r="15" ht="29.25" customHeight="1" spans="1:10">
      <c r="A15" s="11"/>
      <c r="B15" s="16"/>
      <c r="C15" s="16"/>
      <c r="D15" s="17" t="s">
        <v>169</v>
      </c>
      <c r="E15" s="18" t="s">
        <v>30</v>
      </c>
      <c r="F15" s="19">
        <v>2456.8</v>
      </c>
      <c r="G15" s="9"/>
      <c r="H15" s="9"/>
      <c r="I15" s="9"/>
      <c r="J15" s="42">
        <v>1.25</v>
      </c>
    </row>
    <row r="16" ht="29.25" customHeight="1" spans="1:10">
      <c r="A16" s="11"/>
      <c r="B16" s="16"/>
      <c r="C16" s="16"/>
      <c r="D16" s="17" t="s">
        <v>170</v>
      </c>
      <c r="E16" s="20" t="s">
        <v>24</v>
      </c>
      <c r="F16" s="19">
        <v>10.528</v>
      </c>
      <c r="G16" s="9">
        <v>1</v>
      </c>
      <c r="H16" s="9"/>
      <c r="I16" s="9"/>
      <c r="J16" s="42"/>
    </row>
    <row r="17" ht="29.25" customHeight="1" spans="1:10">
      <c r="A17" s="11"/>
      <c r="B17" s="16"/>
      <c r="C17" s="16"/>
      <c r="D17" s="17" t="s">
        <v>171</v>
      </c>
      <c r="E17" s="20" t="s">
        <v>24</v>
      </c>
      <c r="F17" s="19">
        <v>13.398</v>
      </c>
      <c r="G17" s="9"/>
      <c r="H17" s="9">
        <v>1</v>
      </c>
      <c r="I17" s="9"/>
      <c r="J17" s="42"/>
    </row>
    <row r="18" ht="29.25" customHeight="1" spans="1:10">
      <c r="A18" s="11"/>
      <c r="B18" s="16"/>
      <c r="C18" s="16"/>
      <c r="D18" s="17" t="s">
        <v>172</v>
      </c>
      <c r="E18" s="20" t="s">
        <v>24</v>
      </c>
      <c r="F18" s="19">
        <v>20.342</v>
      </c>
      <c r="G18" s="9"/>
      <c r="H18" s="9"/>
      <c r="I18" s="9">
        <v>1</v>
      </c>
      <c r="J18" s="42"/>
    </row>
    <row r="19" ht="29.25" customHeight="1" spans="1:10">
      <c r="A19" s="11"/>
      <c r="B19" s="16"/>
      <c r="C19" s="16"/>
      <c r="D19" s="17" t="s">
        <v>173</v>
      </c>
      <c r="E19" s="20" t="s">
        <v>24</v>
      </c>
      <c r="F19" s="19">
        <v>25.494</v>
      </c>
      <c r="G19" s="9"/>
      <c r="H19" s="9"/>
      <c r="I19" s="9"/>
      <c r="J19" s="42">
        <v>1</v>
      </c>
    </row>
    <row r="20" ht="29.25" customHeight="1" spans="1:10">
      <c r="A20" s="11"/>
      <c r="B20" s="16"/>
      <c r="C20" s="16"/>
      <c r="D20" s="17" t="s">
        <v>59</v>
      </c>
      <c r="E20" s="20" t="s">
        <v>36</v>
      </c>
      <c r="F20" s="19">
        <v>72</v>
      </c>
      <c r="G20" s="9">
        <v>0.4</v>
      </c>
      <c r="H20" s="9">
        <v>0.45</v>
      </c>
      <c r="I20" s="9">
        <v>0.5</v>
      </c>
      <c r="J20" s="42">
        <v>0.55</v>
      </c>
    </row>
    <row r="21" ht="29.25" customHeight="1" spans="1:11">
      <c r="A21" s="11"/>
      <c r="B21" s="16"/>
      <c r="C21" s="16"/>
      <c r="D21" s="17" t="s">
        <v>60</v>
      </c>
      <c r="E21" s="18" t="s">
        <v>174</v>
      </c>
      <c r="F21" s="19">
        <v>2211</v>
      </c>
      <c r="G21" s="9">
        <v>0.1</v>
      </c>
      <c r="H21" s="9">
        <v>0.1</v>
      </c>
      <c r="I21" s="9">
        <v>0.1</v>
      </c>
      <c r="J21" s="42">
        <v>0.1</v>
      </c>
      <c r="K21" s="45" t="s">
        <v>175</v>
      </c>
    </row>
    <row r="22" ht="29.25" customHeight="1" spans="1:10">
      <c r="A22" s="11"/>
      <c r="B22" s="16"/>
      <c r="C22" s="16"/>
      <c r="D22" s="21" t="s">
        <v>37</v>
      </c>
      <c r="E22" s="22" t="s">
        <v>38</v>
      </c>
      <c r="F22" s="23"/>
      <c r="G22" s="24">
        <v>15</v>
      </c>
      <c r="H22" s="24">
        <v>15</v>
      </c>
      <c r="I22" s="24">
        <v>15</v>
      </c>
      <c r="J22" s="46">
        <v>15</v>
      </c>
    </row>
    <row r="23" ht="29.25" customHeight="1" spans="1:10">
      <c r="A23" s="11"/>
      <c r="B23" s="16" t="s">
        <v>40</v>
      </c>
      <c r="C23" s="25" t="s">
        <v>176</v>
      </c>
      <c r="D23" s="17" t="s">
        <v>177</v>
      </c>
      <c r="E23" s="20" t="s">
        <v>42</v>
      </c>
      <c r="F23" s="23">
        <v>84.6</v>
      </c>
      <c r="G23" s="26">
        <v>0.024</v>
      </c>
      <c r="H23" s="26">
        <v>0.04</v>
      </c>
      <c r="I23" s="26">
        <v>0.062</v>
      </c>
      <c r="J23" s="47">
        <v>0.07</v>
      </c>
    </row>
    <row r="24" ht="29.25" customHeight="1" spans="1:10">
      <c r="A24" s="11"/>
      <c r="B24" s="16"/>
      <c r="C24" s="25"/>
      <c r="D24" s="27" t="s">
        <v>178</v>
      </c>
      <c r="E24" s="20" t="s">
        <v>42</v>
      </c>
      <c r="F24" s="23">
        <v>846.4</v>
      </c>
      <c r="G24" s="26">
        <v>0.41</v>
      </c>
      <c r="H24" s="26">
        <v>0.41</v>
      </c>
      <c r="I24" s="26">
        <v>0.41</v>
      </c>
      <c r="J24" s="47">
        <v>0.41</v>
      </c>
    </row>
    <row r="25" ht="29.25" customHeight="1" spans="1:10">
      <c r="A25" s="11"/>
      <c r="B25" s="16"/>
      <c r="C25" s="25"/>
      <c r="D25" s="17" t="s">
        <v>179</v>
      </c>
      <c r="E25" s="20" t="s">
        <v>42</v>
      </c>
      <c r="F25" s="19">
        <v>533.39</v>
      </c>
      <c r="G25" s="28">
        <v>0.268</v>
      </c>
      <c r="H25" s="28">
        <v>0.299</v>
      </c>
      <c r="I25" s="28">
        <v>0.334</v>
      </c>
      <c r="J25" s="48">
        <v>0.415</v>
      </c>
    </row>
    <row r="26" ht="29.25" customHeight="1" spans="1:10">
      <c r="A26" s="11"/>
      <c r="B26" s="16"/>
      <c r="C26" s="16" t="s">
        <v>180</v>
      </c>
      <c r="D26" s="17" t="s">
        <v>181</v>
      </c>
      <c r="E26" s="12" t="s">
        <v>42</v>
      </c>
      <c r="F26" s="9">
        <v>905.63</v>
      </c>
      <c r="G26" s="26">
        <v>0.1</v>
      </c>
      <c r="H26" s="29" t="s">
        <v>182</v>
      </c>
      <c r="I26" s="29" t="s">
        <v>182</v>
      </c>
      <c r="J26" s="49" t="s">
        <v>182</v>
      </c>
    </row>
    <row r="27" ht="29.25" customHeight="1" spans="1:10">
      <c r="A27" s="11"/>
      <c r="B27" s="16"/>
      <c r="C27" s="16"/>
      <c r="D27" s="17" t="s">
        <v>183</v>
      </c>
      <c r="E27" s="12" t="s">
        <v>42</v>
      </c>
      <c r="F27" s="9">
        <v>980.25</v>
      </c>
      <c r="G27" s="29" t="s">
        <v>182</v>
      </c>
      <c r="H27" s="26">
        <v>0.1</v>
      </c>
      <c r="I27" s="29" t="s">
        <v>182</v>
      </c>
      <c r="J27" s="49" t="s">
        <v>182</v>
      </c>
    </row>
    <row r="28" ht="29.25" customHeight="1" spans="1:10">
      <c r="A28" s="11"/>
      <c r="B28" s="16"/>
      <c r="C28" s="16"/>
      <c r="D28" s="17" t="s">
        <v>184</v>
      </c>
      <c r="E28" s="12" t="s">
        <v>42</v>
      </c>
      <c r="F28" s="9">
        <v>1080.46</v>
      </c>
      <c r="G28" s="29" t="s">
        <v>182</v>
      </c>
      <c r="H28" s="29" t="s">
        <v>182</v>
      </c>
      <c r="I28" s="26">
        <v>0.1</v>
      </c>
      <c r="J28" s="49" t="s">
        <v>182</v>
      </c>
    </row>
    <row r="29" ht="29.25" customHeight="1" spans="1:10">
      <c r="A29" s="11"/>
      <c r="B29" s="16"/>
      <c r="C29" s="16"/>
      <c r="D29" s="17" t="s">
        <v>185</v>
      </c>
      <c r="E29" s="12" t="s">
        <v>42</v>
      </c>
      <c r="F29" s="9">
        <v>1150</v>
      </c>
      <c r="G29" s="29" t="s">
        <v>182</v>
      </c>
      <c r="H29" s="29" t="s">
        <v>182</v>
      </c>
      <c r="I29" s="29" t="s">
        <v>182</v>
      </c>
      <c r="J29" s="47">
        <v>0.1</v>
      </c>
    </row>
    <row r="30" ht="29.25" customHeight="1" spans="1:10">
      <c r="A30" s="11"/>
      <c r="B30" s="16"/>
      <c r="C30" s="16"/>
      <c r="D30" s="17" t="s">
        <v>186</v>
      </c>
      <c r="E30" s="20" t="s">
        <v>42</v>
      </c>
      <c r="F30" s="19">
        <v>4800</v>
      </c>
      <c r="G30" s="9">
        <v>0.03</v>
      </c>
      <c r="H30" s="9">
        <v>0.03</v>
      </c>
      <c r="I30" s="9">
        <v>0.03</v>
      </c>
      <c r="J30" s="42">
        <v>0.03</v>
      </c>
    </row>
    <row r="31" ht="29.25" customHeight="1" spans="1:10">
      <c r="A31" s="11"/>
      <c r="B31" s="16"/>
      <c r="C31" s="16"/>
      <c r="D31" s="17" t="s">
        <v>47</v>
      </c>
      <c r="E31" s="12" t="s">
        <v>42</v>
      </c>
      <c r="F31" s="30">
        <v>7.95</v>
      </c>
      <c r="G31" s="26">
        <v>0.126</v>
      </c>
      <c r="H31" s="26">
        <v>0.129</v>
      </c>
      <c r="I31" s="26">
        <v>0.131</v>
      </c>
      <c r="J31" s="47">
        <v>0.134</v>
      </c>
    </row>
    <row r="32" ht="29.25" customHeight="1" spans="1:10">
      <c r="A32" s="11"/>
      <c r="B32" s="16"/>
      <c r="C32" s="16"/>
      <c r="D32" s="31" t="s">
        <v>187</v>
      </c>
      <c r="E32" s="12" t="s">
        <v>42</v>
      </c>
      <c r="F32" s="9">
        <v>172.55</v>
      </c>
      <c r="G32" s="26">
        <v>0.126</v>
      </c>
      <c r="H32" s="26">
        <v>0.129</v>
      </c>
      <c r="I32" s="26">
        <v>0.121</v>
      </c>
      <c r="J32" s="47">
        <v>0.098</v>
      </c>
    </row>
    <row r="33" ht="29.25" customHeight="1" spans="1:10">
      <c r="A33" s="11"/>
      <c r="B33" s="16"/>
      <c r="C33" s="16"/>
      <c r="D33" s="31" t="s">
        <v>188</v>
      </c>
      <c r="E33" s="12" t="s">
        <v>42</v>
      </c>
      <c r="F33" s="9">
        <v>850.15</v>
      </c>
      <c r="G33" s="26">
        <v>0.126</v>
      </c>
      <c r="H33" s="26">
        <v>0.129</v>
      </c>
      <c r="I33" s="26">
        <v>0.121</v>
      </c>
      <c r="J33" s="47">
        <v>0.098</v>
      </c>
    </row>
    <row r="34" ht="29.25" customHeight="1" spans="1:10">
      <c r="A34" s="11"/>
      <c r="B34" s="16"/>
      <c r="C34" s="16"/>
      <c r="D34" s="31" t="s">
        <v>71</v>
      </c>
      <c r="E34" s="12" t="s">
        <v>42</v>
      </c>
      <c r="F34" s="9">
        <v>350</v>
      </c>
      <c r="G34" s="26">
        <v>0.126</v>
      </c>
      <c r="H34" s="26">
        <v>0.129</v>
      </c>
      <c r="I34" s="26">
        <v>0.121</v>
      </c>
      <c r="J34" s="47">
        <v>0.098</v>
      </c>
    </row>
    <row r="35" ht="29.25" customHeight="1" spans="1:10">
      <c r="A35" s="32"/>
      <c r="B35" s="33"/>
      <c r="C35" s="33"/>
      <c r="D35" s="34" t="s">
        <v>189</v>
      </c>
      <c r="E35" s="35" t="s">
        <v>38</v>
      </c>
      <c r="F35" s="36"/>
      <c r="G35" s="37">
        <v>7</v>
      </c>
      <c r="H35" s="37">
        <v>7</v>
      </c>
      <c r="I35" s="37">
        <v>7</v>
      </c>
      <c r="J35" s="50">
        <v>7</v>
      </c>
    </row>
    <row r="36" ht="15.15"/>
  </sheetData>
  <mergeCells count="25">
    <mergeCell ref="A1:J1"/>
    <mergeCell ref="A2:J2"/>
    <mergeCell ref="G3:J3"/>
    <mergeCell ref="A5:F5"/>
    <mergeCell ref="D6:F6"/>
    <mergeCell ref="D7:F7"/>
    <mergeCell ref="D8:F8"/>
    <mergeCell ref="A9:D9"/>
    <mergeCell ref="G9:J9"/>
    <mergeCell ref="A10:A35"/>
    <mergeCell ref="B12:B22"/>
    <mergeCell ref="B23:B35"/>
    <mergeCell ref="C12:C22"/>
    <mergeCell ref="C23:C25"/>
    <mergeCell ref="C26:C35"/>
    <mergeCell ref="D10:D11"/>
    <mergeCell ref="E10:E11"/>
    <mergeCell ref="F10:F11"/>
    <mergeCell ref="G10:G11"/>
    <mergeCell ref="H10:H11"/>
    <mergeCell ref="I10:I11"/>
    <mergeCell ref="J10:J11"/>
    <mergeCell ref="A6:C8"/>
    <mergeCell ref="A3:F4"/>
    <mergeCell ref="B10:C1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20190423</vt:lpstr>
      <vt:lpstr>0225</vt:lpstr>
      <vt:lpstr>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2018-09-08T11:25:00Z</dcterms:created>
  <cp:lastPrinted>2019-04-23T08:49:00Z</cp:lastPrinted>
  <dcterms:modified xsi:type="dcterms:W3CDTF">2019-04-25T08:08:16Z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